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3345" activeTab="0"/>
  </bookViews>
  <sheets>
    <sheet name="Character Record" sheetId="1" r:id="rId1"/>
    <sheet name="Magic Record" sheetId="2" r:id="rId2"/>
    <sheet name="Magic Items" sheetId="3" r:id="rId3"/>
  </sheets>
  <definedNames>
    <definedName name="_xlnm.Print_Area" localSheetId="0">'Character Record'!$A$1:$R$53</definedName>
    <definedName name="_xlnm.Print_Area" localSheetId="2">'Magic Items'!$A$1:$J$48</definedName>
    <definedName name="_xlnm.Print_Area" localSheetId="1">'Magic Record'!$A$1:$J$48</definedName>
  </definedNames>
  <calcPr fullCalcOnLoad="1"/>
</workbook>
</file>

<file path=xl/sharedStrings.xml><?xml version="1.0" encoding="utf-8"?>
<sst xmlns="http://schemas.openxmlformats.org/spreadsheetml/2006/main" count="302" uniqueCount="214">
  <si>
    <t>Dragon Quest</t>
  </si>
  <si>
    <t>PRIMARY CHARACTERISTICS</t>
  </si>
  <si>
    <t xml:space="preserve">                    CHARACTER RECORD</t>
  </si>
  <si>
    <t>PS</t>
  </si>
  <si>
    <t>MD</t>
  </si>
  <si>
    <t>AG</t>
  </si>
  <si>
    <t>MA</t>
  </si>
  <si>
    <t>WP</t>
  </si>
  <si>
    <t>EN</t>
  </si>
  <si>
    <t>Total primary characteristics</t>
  </si>
  <si>
    <t>CHARACTER NAME:</t>
  </si>
  <si>
    <t>PC</t>
  </si>
  <si>
    <t>TMR</t>
  </si>
  <si>
    <t>PB</t>
  </si>
  <si>
    <t>DEF</t>
  </si>
  <si>
    <t>FT</t>
  </si>
  <si>
    <t>RACE:</t>
  </si>
  <si>
    <t>SEX:</t>
  </si>
  <si>
    <t>ASPECT:</t>
  </si>
  <si>
    <t>STATUS:</t>
  </si>
  <si>
    <t>BIRTH:</t>
  </si>
  <si>
    <t>HAND:</t>
  </si>
  <si>
    <t>RANK</t>
  </si>
  <si>
    <t>WEAPON</t>
  </si>
  <si>
    <t>WGT</t>
  </si>
  <si>
    <t>BASE %</t>
  </si>
  <si>
    <t>IV</t>
  </si>
  <si>
    <t>SC</t>
  </si>
  <si>
    <t>DM</t>
  </si>
  <si>
    <t>CL</t>
  </si>
  <si>
    <t>RG</t>
  </si>
  <si>
    <t>USE</t>
  </si>
  <si>
    <t>ARMOR</t>
  </si>
  <si>
    <t>STH</t>
  </si>
  <si>
    <t>PRO</t>
  </si>
  <si>
    <t>SHIELD</t>
  </si>
  <si>
    <t>RK</t>
  </si>
  <si>
    <t>%</t>
  </si>
  <si>
    <t>COLLEGE:</t>
  </si>
  <si>
    <t>MAGIC RESISTANCE:</t>
  </si>
  <si>
    <t>Experience spent</t>
  </si>
  <si>
    <t>SKILLS</t>
  </si>
  <si>
    <t>ABILITY</t>
  </si>
  <si>
    <t>EFFECT</t>
  </si>
  <si>
    <t>POSSESSIONS</t>
  </si>
  <si>
    <t>WEIGHT</t>
  </si>
  <si>
    <t>creating character</t>
  </si>
  <si>
    <t>Horsemanship</t>
  </si>
  <si>
    <t>Stealth</t>
  </si>
  <si>
    <t>SPECIAL ABILITIES / CONSIDERATIONS:</t>
  </si>
  <si>
    <t>TOTAL WEIGHT</t>
  </si>
  <si>
    <t>AGILITY MODIFIER</t>
  </si>
  <si>
    <t>MONEY</t>
  </si>
  <si>
    <t>AMOUNT</t>
  </si>
  <si>
    <t>COPPER FARTHINGS(x0.25)</t>
  </si>
  <si>
    <t>SILVER PENNIES(x1)</t>
  </si>
  <si>
    <t>GOLD SHILLINGS(x12)</t>
  </si>
  <si>
    <t>TRUESILVER GUINEAS(x252)</t>
  </si>
  <si>
    <t>EXPERIENCE POINTS(to be expended)</t>
  </si>
  <si>
    <t>EXM</t>
  </si>
  <si>
    <t>Experience multiplier</t>
  </si>
  <si>
    <t>Total (less magic)</t>
  </si>
  <si>
    <t>All colored squares are calculated automatically</t>
  </si>
  <si>
    <t>Magic Total</t>
  </si>
  <si>
    <t>Some cells are protected to make sure numbers are in the proper places for calculation</t>
  </si>
  <si>
    <t>Grand Total</t>
  </si>
  <si>
    <t>Only cells A1 to R53 are printed when you choose to make a hard copy of the sheet.</t>
  </si>
  <si>
    <t>Make sure you keep track of the Agility Modifier on Q47(It was too complex a formula to do it automatically)</t>
  </si>
  <si>
    <t>When calculating weight, only put the numbers for what is carried while in combat.</t>
  </si>
  <si>
    <t>Use a small zoom view factor in you Excel menu to see this sheet better</t>
  </si>
  <si>
    <t>Click on the Magic Record tab down below to switch to the magic record sheet</t>
  </si>
  <si>
    <t xml:space="preserve">          CHARACTER RECORD - MAGIC SPELLS</t>
  </si>
  <si>
    <t>College:</t>
  </si>
  <si>
    <t>Magic Modifiers:</t>
  </si>
  <si>
    <t>Code</t>
  </si>
  <si>
    <t>Name</t>
  </si>
  <si>
    <t>Effect</t>
  </si>
  <si>
    <t>Rk</t>
  </si>
  <si>
    <t>Base%</t>
  </si>
  <si>
    <t>Resist</t>
  </si>
  <si>
    <t>Range</t>
  </si>
  <si>
    <t>Sub total</t>
  </si>
  <si>
    <t>Total magic experience spent</t>
  </si>
  <si>
    <t>Non-magic Total</t>
  </si>
  <si>
    <t>Main %</t>
  </si>
  <si>
    <t>Important note:</t>
  </si>
  <si>
    <t>Main%=Base%+Rank*3+each MA over 15</t>
  </si>
  <si>
    <t xml:space="preserve"> </t>
  </si>
  <si>
    <t>&lt;-- Note: extra magic armor protection could go here</t>
  </si>
  <si>
    <t>&lt;-- Note: extra magic shield protection could go here</t>
  </si>
  <si>
    <t>Created by Eric Labelle, revision 3.5a, go to www.iosphere.net/~eric/dq for updates and other stuff</t>
  </si>
  <si>
    <t>Climbing</t>
  </si>
  <si>
    <t>Swimming</t>
  </si>
  <si>
    <t>Flying</t>
  </si>
  <si>
    <t>Artisan</t>
  </si>
  <si>
    <t>P</t>
  </si>
  <si>
    <t>Immediate</t>
  </si>
  <si>
    <t>None</t>
  </si>
  <si>
    <t>Ride Mount</t>
  </si>
  <si>
    <t>Sneak</t>
  </si>
  <si>
    <t>Move unnoticed</t>
  </si>
  <si>
    <t>Climb Surface</t>
  </si>
  <si>
    <t>Hold Breath</t>
  </si>
  <si>
    <t>Perform action in water</t>
  </si>
  <si>
    <t>Control Flying</t>
  </si>
  <si>
    <t>Perform complex arial actions</t>
  </si>
  <si>
    <t>Climb without use of tools</t>
  </si>
  <si>
    <t>Duration</t>
  </si>
  <si>
    <t>EM</t>
  </si>
  <si>
    <t>GEMS</t>
  </si>
  <si>
    <t>Character Name:</t>
  </si>
  <si>
    <t>May use one-handed weapons</t>
  </si>
  <si>
    <t>T-1</t>
  </si>
  <si>
    <t>Self</t>
  </si>
  <si>
    <t>G-1</t>
  </si>
  <si>
    <t>G-2</t>
  </si>
  <si>
    <t>G-3</t>
  </si>
  <si>
    <t>G-4</t>
  </si>
  <si>
    <t>G-5</t>
  </si>
  <si>
    <t>G-6</t>
  </si>
  <si>
    <t>G-7</t>
  </si>
  <si>
    <t>G-8</t>
  </si>
  <si>
    <t>G-9</t>
  </si>
  <si>
    <t>General Counterspell</t>
  </si>
  <si>
    <t>G-10</t>
  </si>
  <si>
    <t>Special Counterspell</t>
  </si>
  <si>
    <t>Q-1</t>
  </si>
  <si>
    <t>Special</t>
  </si>
  <si>
    <t>Q-2</t>
  </si>
  <si>
    <t>Purification</t>
  </si>
  <si>
    <t>S-2</t>
  </si>
  <si>
    <t>AP</t>
  </si>
  <si>
    <t>S-5</t>
  </si>
  <si>
    <t>Touch</t>
  </si>
  <si>
    <t>S-7</t>
  </si>
  <si>
    <t>S-12</t>
  </si>
  <si>
    <t>S-13</t>
  </si>
  <si>
    <t xml:space="preserve">DATE:  </t>
  </si>
  <si>
    <t>LANGUAGES:</t>
  </si>
  <si>
    <t>S-1</t>
  </si>
  <si>
    <t>S-3</t>
  </si>
  <si>
    <t>S-4</t>
  </si>
  <si>
    <t>S-6</t>
  </si>
  <si>
    <t>S-8</t>
  </si>
  <si>
    <t>S-9</t>
  </si>
  <si>
    <t>S-10</t>
  </si>
  <si>
    <t>S-11</t>
  </si>
  <si>
    <t>S-14</t>
  </si>
  <si>
    <t>R-1</t>
  </si>
  <si>
    <t>Detect Aura</t>
  </si>
  <si>
    <t>Gain information from auras</t>
  </si>
  <si>
    <t>A</t>
  </si>
  <si>
    <t>Converse with Animals</t>
  </si>
  <si>
    <t>Adept may communicate with fauna</t>
  </si>
  <si>
    <t>Converse with Plants</t>
  </si>
  <si>
    <t>Adept may communicate with flora</t>
  </si>
  <si>
    <t>Controlling Animals</t>
  </si>
  <si>
    <t>Controls actions of a single animal</t>
  </si>
  <si>
    <t>Concentration</t>
  </si>
  <si>
    <t>Blending</t>
  </si>
  <si>
    <t>Target is unnoticed while still</t>
  </si>
  <si>
    <t>Walking Unseen</t>
  </si>
  <si>
    <t>Target may move unnoticed</t>
  </si>
  <si>
    <t>Healing</t>
  </si>
  <si>
    <t>Detect Traps and Snares</t>
  </si>
  <si>
    <t>Detecting Poisons</t>
  </si>
  <si>
    <t>Wand turns black if poison is present</t>
  </si>
  <si>
    <t>Lesser Enchantment</t>
  </si>
  <si>
    <t>Target is blessed or cursed by 1%</t>
  </si>
  <si>
    <t>Fortnight</t>
  </si>
  <si>
    <t>Herbal Lore</t>
  </si>
  <si>
    <t>G-11</t>
  </si>
  <si>
    <t>Tracking</t>
  </si>
  <si>
    <t>G-12</t>
  </si>
  <si>
    <t>G-13</t>
  </si>
  <si>
    <t>Summoning Animals</t>
  </si>
  <si>
    <t>Earth Hammer</t>
  </si>
  <si>
    <t>Hands of Earth</t>
  </si>
  <si>
    <t>Strength of Stone</t>
  </si>
  <si>
    <t>10'</t>
  </si>
  <si>
    <t>Armor of Earth</t>
  </si>
  <si>
    <t>Diamond Weapon</t>
  </si>
  <si>
    <t>Gem Creation</t>
  </si>
  <si>
    <t>Animal Growth</t>
  </si>
  <si>
    <t>Enchanting Plants</t>
  </si>
  <si>
    <t>Binding Animals</t>
  </si>
  <si>
    <t>Conjuring Earth Elemental</t>
  </si>
  <si>
    <t>20'</t>
  </si>
  <si>
    <t>Controlling Earth Elemental</t>
  </si>
  <si>
    <t>Adept may control elemental just summoned</t>
  </si>
  <si>
    <t>Sinking Doom</t>
  </si>
  <si>
    <t>Wall of Stone</t>
  </si>
  <si>
    <t>Wall of Iron</t>
  </si>
  <si>
    <t>S-15</t>
  </si>
  <si>
    <t>Tunneling</t>
  </si>
  <si>
    <t>S-16</t>
  </si>
  <si>
    <t>Trollskin</t>
  </si>
  <si>
    <t>S-17</t>
  </si>
  <si>
    <t>Smoking Magma</t>
  </si>
  <si>
    <t>S-18</t>
  </si>
  <si>
    <t>Diamond Javelins</t>
  </si>
  <si>
    <t>S-19</t>
  </si>
  <si>
    <t>Earth Transformation</t>
  </si>
  <si>
    <t>Binding Earth</t>
  </si>
  <si>
    <t>Earth Magics</t>
  </si>
  <si>
    <t xml:space="preserve">          CHARACTER RECORD - MAGIC ITEMS</t>
  </si>
  <si>
    <t>NOTES:</t>
  </si>
  <si>
    <t>CHARGED ITEMS</t>
  </si>
  <si>
    <t>Item</t>
  </si>
  <si>
    <t>Charges</t>
  </si>
  <si>
    <t>No.</t>
  </si>
  <si>
    <t>SHAPED ITEMS</t>
  </si>
  <si>
    <t>NAME</t>
  </si>
  <si>
    <t>NOTES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</si>
</sst>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1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Times New Roman"/>
      <family val="1"/>
    </font>
    <font>
      <b/>
      <sz val="28"/>
      <name val="Times New Roman"/>
      <family val="1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 applyProtection="1">
      <alignment/>
      <protection locked="0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6" fillId="2" borderId="8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7" xfId="0" applyFont="1" applyFill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11" fillId="3" borderId="2" xfId="0" applyFont="1" applyFill="1" applyBorder="1" applyAlignment="1" quotePrefix="1">
      <alignment horizontal="center"/>
    </xf>
    <xf numFmtId="0" fontId="11" fillId="3" borderId="16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shrinkToFit="1"/>
      <protection locked="0"/>
    </xf>
    <xf numFmtId="0" fontId="11" fillId="0" borderId="18" xfId="0" applyFont="1" applyBorder="1" applyAlignment="1" applyProtection="1">
      <alignment horizontal="center" shrinkToFit="1"/>
      <protection locked="0"/>
    </xf>
    <xf numFmtId="0" fontId="11" fillId="0" borderId="14" xfId="0" applyFont="1" applyBorder="1" applyAlignment="1" applyProtection="1">
      <alignment shrinkToFit="1"/>
      <protection locked="0"/>
    </xf>
    <xf numFmtId="0" fontId="11" fillId="0" borderId="18" xfId="0" applyFont="1" applyBorder="1" applyAlignment="1" applyProtection="1">
      <alignment shrinkToFit="1"/>
      <protection locked="0"/>
    </xf>
    <xf numFmtId="0" fontId="11" fillId="3" borderId="19" xfId="0" applyFont="1" applyFill="1" applyBorder="1" applyAlignment="1" quotePrefix="1">
      <alignment horizontal="center"/>
    </xf>
    <xf numFmtId="0" fontId="6" fillId="3" borderId="2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/>
    </xf>
    <xf numFmtId="9" fontId="11" fillId="0" borderId="14" xfId="0" applyNumberFormat="1" applyFont="1" applyBorder="1" applyAlignment="1" applyProtection="1">
      <alignment shrinkToFit="1"/>
      <protection locked="0"/>
    </xf>
    <xf numFmtId="0" fontId="6" fillId="3" borderId="0" xfId="0" applyFont="1" applyFill="1" applyAlignment="1">
      <alignment/>
    </xf>
    <xf numFmtId="0" fontId="11" fillId="3" borderId="2" xfId="0" applyFont="1" applyFill="1" applyBorder="1" applyAlignment="1">
      <alignment/>
    </xf>
    <xf numFmtId="0" fontId="11" fillId="3" borderId="2" xfId="0" applyFont="1" applyFill="1" applyBorder="1" applyAlignment="1" quotePrefix="1">
      <alignment/>
    </xf>
    <xf numFmtId="0" fontId="11" fillId="3" borderId="2" xfId="0" applyFont="1" applyFill="1" applyBorder="1" applyAlignment="1" applyProtection="1">
      <alignment/>
      <protection locked="0"/>
    </xf>
    <xf numFmtId="164" fontId="6" fillId="3" borderId="2" xfId="0" applyNumberFormat="1" applyFont="1" applyFill="1" applyBorder="1" applyAlignment="1">
      <alignment/>
    </xf>
    <xf numFmtId="0" fontId="6" fillId="3" borderId="23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3" borderId="4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0" fillId="3" borderId="5" xfId="0" applyFont="1" applyFill="1" applyBorder="1" applyAlignment="1" applyProtection="1">
      <alignment/>
      <protection/>
    </xf>
    <xf numFmtId="0" fontId="1" fillId="0" borderId="13" xfId="0" applyFont="1" applyBorder="1" applyAlignment="1">
      <alignment horizontal="left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3" borderId="2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3" borderId="0" xfId="0" applyFont="1" applyFill="1" applyBorder="1" applyAlignment="1" quotePrefix="1">
      <alignment horizontal="center"/>
    </xf>
    <xf numFmtId="0" fontId="11" fillId="0" borderId="25" xfId="0" applyFont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/>
      <protection/>
    </xf>
    <xf numFmtId="164" fontId="6" fillId="3" borderId="8" xfId="0" applyNumberFormat="1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25" xfId="0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1" fillId="3" borderId="26" xfId="0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11" fillId="3" borderId="29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11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11" fillId="0" borderId="27" xfId="0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4" borderId="22" xfId="0" applyFont="1" applyFill="1" applyBorder="1" applyAlignment="1" applyProtection="1">
      <alignment horizontal="left"/>
      <protection/>
    </xf>
    <xf numFmtId="0" fontId="0" fillId="4" borderId="22" xfId="0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0" fontId="11" fillId="0" borderId="22" xfId="0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11" fillId="0" borderId="28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1" fillId="3" borderId="1" xfId="0" applyFont="1" applyFill="1" applyBorder="1" applyAlignment="1" quotePrefix="1">
      <alignment horizontal="center"/>
    </xf>
    <xf numFmtId="0" fontId="1" fillId="3" borderId="36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5" xfId="0" applyFont="1" applyBorder="1" applyAlignment="1">
      <alignment/>
    </xf>
    <xf numFmtId="0" fontId="11" fillId="0" borderId="37" xfId="0" applyFont="1" applyBorder="1" applyAlignment="1" applyProtection="1">
      <alignment shrinkToFit="1"/>
      <protection locked="0"/>
    </xf>
    <xf numFmtId="0" fontId="0" fillId="0" borderId="38" xfId="0" applyBorder="1" applyAlignment="1">
      <alignment shrinkToFit="1"/>
    </xf>
    <xf numFmtId="0" fontId="11" fillId="0" borderId="0" xfId="0" applyFont="1" applyBorder="1" applyAlignment="1" applyProtection="1">
      <alignment shrinkToFit="1"/>
      <protection locked="0"/>
    </xf>
    <xf numFmtId="0" fontId="0" fillId="0" borderId="0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39" xfId="0" applyBorder="1" applyAlignment="1">
      <alignment shrinkToFit="1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1" fillId="0" borderId="6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11" fillId="0" borderId="39" xfId="0" applyFont="1" applyBorder="1" applyAlignment="1">
      <alignment shrinkToFit="1"/>
    </xf>
    <xf numFmtId="0" fontId="14" fillId="0" borderId="31" xfId="0" applyFont="1" applyBorder="1" applyAlignment="1" applyProtection="1">
      <alignment horizontal="left" shrinkToFit="1"/>
      <protection locked="0"/>
    </xf>
    <xf numFmtId="0" fontId="11" fillId="0" borderId="6" xfId="0" applyFont="1" applyBorder="1" applyAlignment="1" applyProtection="1">
      <alignment horizontal="left" shrinkToFit="1"/>
      <protection locked="0"/>
    </xf>
    <xf numFmtId="0" fontId="0" fillId="0" borderId="0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11" fillId="0" borderId="40" xfId="0" applyFont="1" applyBorder="1" applyAlignment="1" applyProtection="1">
      <alignment horizontal="center" shrinkToFit="1"/>
      <protection locked="0"/>
    </xf>
    <xf numFmtId="0" fontId="0" fillId="0" borderId="33" xfId="0" applyBorder="1" applyAlignment="1">
      <alignment shrinkToFit="1"/>
    </xf>
    <xf numFmtId="0" fontId="0" fillId="0" borderId="15" xfId="0" applyBorder="1" applyAlignment="1">
      <alignment shrinkToFit="1"/>
    </xf>
    <xf numFmtId="0" fontId="11" fillId="0" borderId="36" xfId="0" applyFont="1" applyBorder="1" applyAlignment="1" applyProtection="1">
      <alignment horizontal="left" shrinkToFit="1"/>
      <protection locked="0"/>
    </xf>
    <xf numFmtId="0" fontId="0" fillId="0" borderId="3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0" fillId="0" borderId="0" xfId="0" applyAlignment="1">
      <alignment shrinkToFit="1"/>
    </xf>
    <xf numFmtId="0" fontId="11" fillId="0" borderId="3" xfId="0" applyFont="1" applyBorder="1" applyAlignment="1" applyProtection="1">
      <alignment horizontal="left" shrinkToFit="1"/>
      <protection locked="0"/>
    </xf>
    <xf numFmtId="0" fontId="0" fillId="0" borderId="4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11" fillId="0" borderId="30" xfId="0" applyFont="1" applyBorder="1" applyAlignment="1" applyProtection="1">
      <alignment horizontal="center" shrinkToFit="1"/>
      <protection locked="0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8" fillId="3" borderId="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41" xfId="0" applyFont="1" applyFill="1" applyBorder="1" applyAlignment="1">
      <alignment/>
    </xf>
    <xf numFmtId="0" fontId="5" fillId="3" borderId="42" xfId="0" applyFont="1" applyFill="1" applyBorder="1" applyAlignment="1">
      <alignment/>
    </xf>
    <xf numFmtId="0" fontId="6" fillId="3" borderId="43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0" fontId="6" fillId="3" borderId="3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39" xfId="0" applyFont="1" applyFill="1" applyBorder="1" applyAlignment="1">
      <alignment/>
    </xf>
    <xf numFmtId="0" fontId="6" fillId="3" borderId="3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3" borderId="29" xfId="0" applyFont="1" applyFill="1" applyBorder="1" applyAlignment="1">
      <alignment/>
    </xf>
    <xf numFmtId="17" fontId="4" fillId="3" borderId="36" xfId="0" applyNumberFormat="1" applyFont="1" applyFill="1" applyBorder="1" applyAlignment="1">
      <alignment horizontal="left"/>
    </xf>
    <xf numFmtId="0" fontId="5" fillId="3" borderId="3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4" fillId="3" borderId="40" xfId="0" applyFont="1" applyFill="1" applyBorder="1" applyAlignment="1">
      <alignment horizontal="left"/>
    </xf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3" borderId="29" xfId="0" applyFont="1" applyFill="1" applyBorder="1" applyAlignment="1">
      <alignment horizontal="left"/>
    </xf>
    <xf numFmtId="0" fontId="4" fillId="3" borderId="44" xfId="0" applyFont="1" applyFill="1" applyBorder="1" applyAlignment="1">
      <alignment/>
    </xf>
    <xf numFmtId="0" fontId="13" fillId="3" borderId="28" xfId="0" applyFont="1" applyFill="1" applyBorder="1" applyAlignment="1" applyProtection="1">
      <alignment horizontal="left"/>
      <protection locked="0"/>
    </xf>
    <xf numFmtId="0" fontId="13" fillId="3" borderId="23" xfId="0" applyFont="1" applyFill="1" applyBorder="1" applyAlignment="1" applyProtection="1">
      <alignment horizontal="left"/>
      <protection locked="0"/>
    </xf>
    <xf numFmtId="0" fontId="6" fillId="3" borderId="29" xfId="0" applyFont="1" applyFill="1" applyBorder="1" applyAlignment="1">
      <alignment horizontal="center"/>
    </xf>
    <xf numFmtId="0" fontId="6" fillId="3" borderId="23" xfId="0" applyFont="1" applyFill="1" applyBorder="1" applyAlignment="1" applyProtection="1">
      <alignment horizontal="center"/>
      <protection locked="0"/>
    </xf>
    <xf numFmtId="0" fontId="0" fillId="3" borderId="29" xfId="0" applyFont="1" applyFill="1" applyBorder="1" applyAlignment="1">
      <alignment horizontal="center"/>
    </xf>
    <xf numFmtId="0" fontId="6" fillId="3" borderId="23" xfId="0" applyFont="1" applyFill="1" applyBorder="1" applyAlignment="1" applyProtection="1" quotePrefix="1">
      <alignment horizontal="center"/>
      <protection locked="0"/>
    </xf>
    <xf numFmtId="0" fontId="4" fillId="3" borderId="45" xfId="0" applyFont="1" applyFill="1" applyBorder="1" applyAlignment="1">
      <alignment/>
    </xf>
    <xf numFmtId="0" fontId="4" fillId="3" borderId="46" xfId="0" applyFont="1" applyFill="1" applyBorder="1" applyAlignment="1" applyProtection="1">
      <alignment/>
      <protection locked="0"/>
    </xf>
    <xf numFmtId="0" fontId="4" fillId="3" borderId="26" xfId="0" applyFont="1" applyFill="1" applyBorder="1" applyAlignment="1">
      <alignment/>
    </xf>
    <xf numFmtId="0" fontId="4" fillId="3" borderId="46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46" xfId="0" applyFill="1" applyBorder="1" applyAlignment="1">
      <alignment/>
    </xf>
    <xf numFmtId="0" fontId="4" fillId="3" borderId="26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left"/>
    </xf>
    <xf numFmtId="0" fontId="6" fillId="3" borderId="5" xfId="0" applyFont="1" applyFill="1" applyBorder="1" applyAlignment="1" applyProtection="1" quotePrefix="1">
      <alignment horizontal="center"/>
      <protection locked="0"/>
    </xf>
    <xf numFmtId="0" fontId="6" fillId="3" borderId="0" xfId="0" applyFont="1" applyFill="1" applyBorder="1" applyAlignment="1" quotePrefix="1">
      <alignment horizontal="center"/>
    </xf>
    <xf numFmtId="0" fontId="0" fillId="3" borderId="47" xfId="0" applyFont="1" applyFill="1" applyBorder="1" applyAlignment="1">
      <alignment horizontal="center"/>
    </xf>
    <xf numFmtId="0" fontId="5" fillId="3" borderId="42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8" xfId="0" applyFont="1" applyFill="1" applyBorder="1" applyAlignment="1">
      <alignment horizontal="center"/>
    </xf>
    <xf numFmtId="0" fontId="0" fillId="3" borderId="48" xfId="0" applyFont="1" applyFill="1" applyBorder="1" applyAlignment="1">
      <alignment/>
    </xf>
    <xf numFmtId="0" fontId="0" fillId="3" borderId="49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1" fillId="3" borderId="50" xfId="0" applyFont="1" applyFill="1" applyBorder="1" applyAlignment="1" applyProtection="1">
      <alignment horizontal="center"/>
      <protection locked="0"/>
    </xf>
    <xf numFmtId="0" fontId="11" fillId="3" borderId="29" xfId="0" applyFont="1" applyFill="1" applyBorder="1" applyAlignment="1" applyProtection="1">
      <alignment horizontal="left"/>
      <protection locked="0"/>
    </xf>
    <xf numFmtId="0" fontId="11" fillId="3" borderId="28" xfId="0" applyFont="1" applyFill="1" applyBorder="1" applyAlignment="1" applyProtection="1">
      <alignment horizontal="left"/>
      <protection locked="0"/>
    </xf>
    <xf numFmtId="0" fontId="0" fillId="3" borderId="23" xfId="0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 quotePrefix="1">
      <alignment horizontal="center"/>
      <protection locked="0"/>
    </xf>
    <xf numFmtId="0" fontId="11" fillId="3" borderId="23" xfId="0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>
      <alignment/>
    </xf>
    <xf numFmtId="0" fontId="11" fillId="3" borderId="16" xfId="0" applyFont="1" applyFill="1" applyBorder="1" applyAlignment="1" applyProtection="1">
      <alignment horizontal="center"/>
      <protection locked="0"/>
    </xf>
    <xf numFmtId="0" fontId="5" fillId="3" borderId="29" xfId="0" applyFont="1" applyFill="1" applyBorder="1" applyAlignment="1">
      <alignment/>
    </xf>
    <xf numFmtId="0" fontId="6" fillId="3" borderId="28" xfId="0" applyFont="1" applyFill="1" applyBorder="1" applyAlignment="1" applyProtection="1">
      <alignment/>
      <protection/>
    </xf>
    <xf numFmtId="0" fontId="6" fillId="3" borderId="23" xfId="0" applyFont="1" applyFill="1" applyBorder="1" applyAlignment="1" applyProtection="1">
      <alignment/>
      <protection/>
    </xf>
    <xf numFmtId="0" fontId="0" fillId="3" borderId="2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11" fillId="3" borderId="26" xfId="0" applyFont="1" applyFill="1" applyBorder="1" applyAlignment="1" applyProtection="1">
      <alignment horizontal="left"/>
      <protection locked="0"/>
    </xf>
    <xf numFmtId="0" fontId="11" fillId="3" borderId="27" xfId="0" applyFont="1" applyFill="1" applyBorder="1" applyAlignment="1" applyProtection="1">
      <alignment horizontal="left"/>
      <protection locked="0"/>
    </xf>
    <xf numFmtId="0" fontId="11" fillId="3" borderId="46" xfId="0" applyFont="1" applyFill="1" applyBorder="1" applyAlignment="1" applyProtection="1">
      <alignment horizontal="left"/>
      <protection locked="0"/>
    </xf>
    <xf numFmtId="0" fontId="5" fillId="3" borderId="51" xfId="0" applyFont="1" applyFill="1" applyBorder="1" applyAlignment="1">
      <alignment/>
    </xf>
    <xf numFmtId="0" fontId="6" fillId="3" borderId="52" xfId="0" applyFont="1" applyFill="1" applyBorder="1" applyAlignment="1" applyProtection="1">
      <alignment horizontal="left"/>
      <protection locked="0"/>
    </xf>
    <xf numFmtId="0" fontId="0" fillId="3" borderId="52" xfId="0" applyFill="1" applyBorder="1" applyAlignment="1" applyProtection="1">
      <alignment horizontal="left"/>
      <protection locked="0"/>
    </xf>
    <xf numFmtId="0" fontId="5" fillId="3" borderId="52" xfId="0" applyFont="1" applyFill="1" applyBorder="1" applyAlignment="1">
      <alignment/>
    </xf>
    <xf numFmtId="0" fontId="6" fillId="3" borderId="52" xfId="0" applyFont="1" applyFill="1" applyBorder="1" applyAlignment="1">
      <alignment/>
    </xf>
    <xf numFmtId="0" fontId="6" fillId="3" borderId="52" xfId="0" applyFont="1" applyFill="1" applyBorder="1" applyAlignment="1">
      <alignment horizontal="center"/>
    </xf>
    <xf numFmtId="0" fontId="6" fillId="3" borderId="52" xfId="0" applyFont="1" applyFill="1" applyBorder="1" applyAlignment="1">
      <alignment/>
    </xf>
    <xf numFmtId="0" fontId="6" fillId="3" borderId="53" xfId="0" applyFont="1" applyFill="1" applyBorder="1" applyAlignment="1">
      <alignment/>
    </xf>
    <xf numFmtId="0" fontId="6" fillId="3" borderId="54" xfId="0" applyFont="1" applyFill="1" applyBorder="1" applyAlignment="1">
      <alignment/>
    </xf>
    <xf numFmtId="0" fontId="6" fillId="3" borderId="38" xfId="0" applyFont="1" applyFill="1" applyBorder="1" applyAlignment="1">
      <alignment/>
    </xf>
    <xf numFmtId="0" fontId="6" fillId="3" borderId="32" xfId="0" applyFont="1" applyFill="1" applyBorder="1" applyAlignment="1">
      <alignment/>
    </xf>
    <xf numFmtId="0" fontId="6" fillId="3" borderId="37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5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3" borderId="32" xfId="0" applyFont="1" applyFill="1" applyBorder="1" applyAlignment="1">
      <alignment/>
    </xf>
    <xf numFmtId="0" fontId="6" fillId="3" borderId="38" xfId="0" applyFont="1" applyFill="1" applyBorder="1" applyAlignment="1">
      <alignment/>
    </xf>
    <xf numFmtId="0" fontId="5" fillId="3" borderId="36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40" xfId="0" applyFont="1" applyFill="1" applyBorder="1" applyAlignment="1">
      <alignment/>
    </xf>
    <xf numFmtId="0" fontId="6" fillId="3" borderId="33" xfId="0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6" fillId="3" borderId="0" xfId="0" applyFont="1" applyFill="1" applyBorder="1" applyAlignment="1">
      <alignment horizontal="centerContinuous"/>
    </xf>
    <xf numFmtId="0" fontId="5" fillId="3" borderId="40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11" fillId="3" borderId="44" xfId="0" applyFont="1" applyFill="1" applyBorder="1" applyAlignment="1">
      <alignment/>
    </xf>
    <xf numFmtId="0" fontId="11" fillId="3" borderId="44" xfId="0" applyFont="1" applyFill="1" applyBorder="1" applyAlignment="1" applyProtection="1">
      <alignment horizontal="left"/>
      <protection locked="0"/>
    </xf>
    <xf numFmtId="2" fontId="11" fillId="3" borderId="29" xfId="0" applyNumberFormat="1" applyFont="1" applyFill="1" applyBorder="1" applyAlignment="1" applyProtection="1">
      <alignment horizontal="center"/>
      <protection locked="0"/>
    </xf>
    <xf numFmtId="2" fontId="11" fillId="3" borderId="16" xfId="0" applyNumberFormat="1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>
      <alignment/>
    </xf>
    <xf numFmtId="0" fontId="6" fillId="3" borderId="2" xfId="0" applyFont="1" applyFill="1" applyBorder="1" applyAlignment="1" applyProtection="1">
      <alignment/>
      <protection locked="0"/>
    </xf>
    <xf numFmtId="0" fontId="6" fillId="3" borderId="0" xfId="0" applyFont="1" applyFill="1" applyAlignment="1">
      <alignment/>
    </xf>
    <xf numFmtId="0" fontId="14" fillId="3" borderId="44" xfId="0" applyFont="1" applyFill="1" applyBorder="1" applyAlignment="1" applyProtection="1">
      <alignment horizontal="left"/>
      <protection locked="0"/>
    </xf>
    <xf numFmtId="0" fontId="14" fillId="3" borderId="23" xfId="0" applyFont="1" applyFill="1" applyBorder="1" applyAlignment="1" applyProtection="1">
      <alignment horizontal="left"/>
      <protection locked="0"/>
    </xf>
    <xf numFmtId="0" fontId="11" fillId="3" borderId="29" xfId="0" applyFont="1" applyFill="1" applyBorder="1" applyAlignment="1" applyProtection="1">
      <alignment horizontal="left" shrinkToFit="1"/>
      <protection locked="0"/>
    </xf>
    <xf numFmtId="0" fontId="11" fillId="3" borderId="28" xfId="0" applyFont="1" applyFill="1" applyBorder="1" applyAlignment="1" applyProtection="1">
      <alignment horizontal="left" shrinkToFit="1"/>
      <protection locked="0"/>
    </xf>
    <xf numFmtId="0" fontId="11" fillId="3" borderId="23" xfId="0" applyFont="1" applyFill="1" applyBorder="1" applyAlignment="1" applyProtection="1">
      <alignment horizontal="left" shrinkToFit="1"/>
      <protection locked="0"/>
    </xf>
    <xf numFmtId="0" fontId="0" fillId="3" borderId="23" xfId="0" applyFont="1" applyFill="1" applyBorder="1" applyAlignment="1">
      <alignment horizontal="left"/>
    </xf>
    <xf numFmtId="0" fontId="0" fillId="3" borderId="28" xfId="0" applyFill="1" applyBorder="1" applyAlignment="1">
      <alignment horizontal="left" shrinkToFit="1"/>
    </xf>
    <xf numFmtId="0" fontId="0" fillId="3" borderId="23" xfId="0" applyFill="1" applyBorder="1" applyAlignment="1">
      <alignment horizontal="left" shrinkToFit="1"/>
    </xf>
    <xf numFmtId="0" fontId="0" fillId="3" borderId="28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1" fillId="3" borderId="44" xfId="0" applyFont="1" applyFill="1" applyBorder="1" applyAlignment="1" applyProtection="1">
      <alignment horizontal="left"/>
      <protection locked="0"/>
    </xf>
    <xf numFmtId="0" fontId="11" fillId="3" borderId="23" xfId="0" applyFont="1" applyFill="1" applyBorder="1" applyAlignment="1" applyProtection="1">
      <alignment horizontal="left"/>
      <protection locked="0"/>
    </xf>
    <xf numFmtId="0" fontId="5" fillId="3" borderId="44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0" xfId="0" applyFont="1" applyFill="1" applyAlignment="1">
      <alignment/>
    </xf>
    <xf numFmtId="0" fontId="6" fillId="3" borderId="1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5" fillId="3" borderId="36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15" xfId="0" applyFill="1" applyBorder="1" applyAlignment="1">
      <alignment/>
    </xf>
    <xf numFmtId="0" fontId="11" fillId="3" borderId="16" xfId="0" applyFont="1" applyFill="1" applyBorder="1" applyAlignment="1" applyProtection="1">
      <alignment horizontal="left"/>
      <protection locked="0"/>
    </xf>
    <xf numFmtId="0" fontId="5" fillId="3" borderId="44" xfId="0" applyFont="1" applyFill="1" applyBorder="1" applyAlignment="1">
      <alignment/>
    </xf>
    <xf numFmtId="0" fontId="6" fillId="3" borderId="28" xfId="0" applyFont="1" applyFill="1" applyBorder="1" applyAlignment="1">
      <alignment/>
    </xf>
    <xf numFmtId="0" fontId="6" fillId="3" borderId="23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34" xfId="0" applyFont="1" applyFill="1" applyBorder="1" applyAlignment="1">
      <alignment/>
    </xf>
    <xf numFmtId="0" fontId="1" fillId="3" borderId="54" xfId="0" applyFont="1" applyFill="1" applyBorder="1" applyAlignment="1">
      <alignment/>
    </xf>
    <xf numFmtId="0" fontId="11" fillId="3" borderId="32" xfId="0" applyFont="1" applyFill="1" applyBorder="1" applyAlignment="1" applyProtection="1">
      <alignment horizontal="center"/>
      <protection locked="0"/>
    </xf>
    <xf numFmtId="0" fontId="0" fillId="3" borderId="55" xfId="0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42" xfId="0" applyFont="1" applyFill="1" applyBorder="1" applyAlignment="1" applyProtection="1">
      <alignment horizontal="center"/>
      <protection locked="0"/>
    </xf>
    <xf numFmtId="0" fontId="0" fillId="3" borderId="43" xfId="0" applyFont="1" applyFill="1" applyBorder="1" applyAlignment="1" applyProtection="1">
      <alignment horizontal="center"/>
      <protection locked="0"/>
    </xf>
    <xf numFmtId="0" fontId="0" fillId="3" borderId="42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44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11" fillId="3" borderId="29" xfId="0" applyFont="1" applyFill="1" applyBorder="1" applyAlignment="1" applyProtection="1">
      <alignment horizontal="center"/>
      <protection locked="0"/>
    </xf>
    <xf numFmtId="0" fontId="11" fillId="3" borderId="23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Alignment="1" applyProtection="1">
      <alignment horizontal="left" wrapText="1"/>
      <protection locked="0"/>
    </xf>
    <xf numFmtId="0" fontId="0" fillId="3" borderId="0" xfId="0" applyFill="1" applyAlignment="1">
      <alignment wrapText="1"/>
    </xf>
    <xf numFmtId="0" fontId="0" fillId="3" borderId="25" xfId="0" applyFill="1" applyBorder="1" applyAlignment="1">
      <alignment wrapText="1"/>
    </xf>
    <xf numFmtId="0" fontId="0" fillId="3" borderId="25" xfId="0" applyFill="1" applyBorder="1" applyAlignment="1">
      <alignment horizontal="center"/>
    </xf>
    <xf numFmtId="0" fontId="11" fillId="3" borderId="3" xfId="0" applyFont="1" applyFill="1" applyBorder="1" applyAlignment="1" applyProtection="1">
      <alignment horizontal="left" wrapText="1"/>
      <protection locked="0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41" xfId="0" applyFont="1" applyFill="1" applyBorder="1" applyAlignment="1">
      <alignment/>
    </xf>
    <xf numFmtId="0" fontId="1" fillId="3" borderId="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Continuous"/>
    </xf>
    <xf numFmtId="0" fontId="0" fillId="3" borderId="0" xfId="0" applyFont="1" applyFill="1" applyBorder="1" applyAlignment="1">
      <alignment/>
    </xf>
    <xf numFmtId="0" fontId="0" fillId="3" borderId="45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46" xfId="0" applyFont="1" applyFill="1" applyBorder="1" applyAlignment="1">
      <alignment/>
    </xf>
    <xf numFmtId="0" fontId="11" fillId="3" borderId="26" xfId="0" applyFont="1" applyFill="1" applyBorder="1" applyAlignment="1" applyProtection="1">
      <alignment horizontal="center"/>
      <protection locked="0"/>
    </xf>
    <xf numFmtId="0" fontId="11" fillId="3" borderId="46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center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164" fontId="11" fillId="3" borderId="3" xfId="0" applyNumberFormat="1" applyFont="1" applyFill="1" applyBorder="1" applyAlignment="1" applyProtection="1">
      <alignment horizontal="center"/>
      <protection locked="0"/>
    </xf>
    <xf numFmtId="164" fontId="11" fillId="3" borderId="5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showGridLines="0" tabSelected="1" defaultGridColor="0" zoomScale="60" zoomScaleNormal="60" colorId="8" workbookViewId="0" topLeftCell="A1">
      <selection activeCell="F3" sqref="F3"/>
    </sheetView>
  </sheetViews>
  <sheetFormatPr defaultColWidth="8.88671875" defaultRowHeight="15"/>
  <cols>
    <col min="1" max="1" width="11.77734375" style="86" customWidth="1"/>
    <col min="2" max="2" width="10.77734375" style="86" customWidth="1"/>
    <col min="3" max="3" width="3.21484375" style="86" customWidth="1"/>
    <col min="4" max="4" width="5.77734375" style="86" customWidth="1"/>
    <col min="5" max="5" width="5.88671875" style="86" customWidth="1"/>
    <col min="6" max="6" width="11.21484375" style="86" customWidth="1"/>
    <col min="7" max="18" width="4.77734375" style="86" customWidth="1"/>
    <col min="19" max="19" width="1.77734375" style="86" customWidth="1"/>
    <col min="20" max="20" width="20.6640625" style="86" customWidth="1"/>
    <col min="21" max="21" width="9.21484375" style="86" customWidth="1"/>
    <col min="22" max="16384" width="8.88671875" style="86" customWidth="1"/>
  </cols>
  <sheetData>
    <row r="1" spans="1:19" ht="34.5">
      <c r="A1" s="148" t="s">
        <v>0</v>
      </c>
      <c r="B1" s="149"/>
      <c r="C1" s="149"/>
      <c r="D1" s="149"/>
      <c r="E1" s="149"/>
      <c r="F1" s="150"/>
      <c r="G1" s="151" t="s">
        <v>1</v>
      </c>
      <c r="H1" s="152"/>
      <c r="I1" s="153"/>
      <c r="J1" s="152"/>
      <c r="K1" s="154"/>
      <c r="L1" s="154"/>
      <c r="M1" s="154"/>
      <c r="N1" s="154"/>
      <c r="O1" s="154"/>
      <c r="P1" s="154"/>
      <c r="Q1" s="154"/>
      <c r="R1" s="155"/>
      <c r="S1" s="156"/>
    </row>
    <row r="2" spans="1:21" s="52" customFormat="1" ht="18">
      <c r="A2" s="157" t="s">
        <v>2</v>
      </c>
      <c r="B2" s="158"/>
      <c r="C2" s="158"/>
      <c r="D2" s="158"/>
      <c r="E2" s="158"/>
      <c r="F2" s="159"/>
      <c r="G2" s="160" t="s">
        <v>3</v>
      </c>
      <c r="H2" s="30"/>
      <c r="I2" s="160" t="s">
        <v>4</v>
      </c>
      <c r="J2" s="30">
        <f>+J3+R10+R11</f>
        <v>0</v>
      </c>
      <c r="K2" s="160" t="s">
        <v>5</v>
      </c>
      <c r="L2" s="30">
        <f>+L3+R7+R8+Q48</f>
        <v>0</v>
      </c>
      <c r="M2" s="160" t="s">
        <v>6</v>
      </c>
      <c r="N2" s="30"/>
      <c r="O2" s="160" t="s">
        <v>7</v>
      </c>
      <c r="P2" s="30"/>
      <c r="Q2" s="160" t="s">
        <v>8</v>
      </c>
      <c r="R2" s="42"/>
      <c r="S2" s="161"/>
      <c r="T2" s="162" t="s">
        <v>9</v>
      </c>
      <c r="U2" s="57"/>
    </row>
    <row r="3" spans="1:21" s="52" customFormat="1" ht="18">
      <c r="A3" s="163" t="s">
        <v>137</v>
      </c>
      <c r="B3" s="164"/>
      <c r="C3" s="164"/>
      <c r="D3" s="164"/>
      <c r="E3" s="164"/>
      <c r="F3" s="165"/>
      <c r="G3" s="166"/>
      <c r="H3" s="167"/>
      <c r="I3" s="166"/>
      <c r="J3" s="167"/>
      <c r="K3" s="166"/>
      <c r="L3" s="167"/>
      <c r="M3" s="166"/>
      <c r="N3" s="167"/>
      <c r="O3" s="166"/>
      <c r="P3" s="167"/>
      <c r="Q3" s="166"/>
      <c r="R3" s="168"/>
      <c r="S3" s="161"/>
      <c r="T3" s="169">
        <f>+H3+J3+L3+N3+P3+R3</f>
        <v>0</v>
      </c>
      <c r="U3" s="57"/>
    </row>
    <row r="4" spans="1:19" s="52" customFormat="1" ht="18">
      <c r="A4" s="170" t="s">
        <v>10</v>
      </c>
      <c r="B4" s="171"/>
      <c r="C4" s="171"/>
      <c r="D4" s="171"/>
      <c r="E4" s="171"/>
      <c r="F4" s="171"/>
      <c r="G4" s="171"/>
      <c r="H4" s="172"/>
      <c r="I4" s="173" t="s">
        <v>11</v>
      </c>
      <c r="J4" s="174"/>
      <c r="K4" s="175" t="s">
        <v>12</v>
      </c>
      <c r="L4" s="176"/>
      <c r="M4" s="173" t="s">
        <v>13</v>
      </c>
      <c r="N4" s="174"/>
      <c r="O4" s="160" t="s">
        <v>14</v>
      </c>
      <c r="P4" s="30">
        <f>+P5+(P10*Q10)+(P11*Q11)</f>
        <v>0</v>
      </c>
      <c r="Q4" s="160" t="s">
        <v>15</v>
      </c>
      <c r="R4" s="42"/>
      <c r="S4" s="161"/>
    </row>
    <row r="5" spans="1:19" s="52" customFormat="1" ht="18.75" thickBot="1">
      <c r="A5" s="177" t="s">
        <v>16</v>
      </c>
      <c r="B5" s="178"/>
      <c r="C5" s="179" t="s">
        <v>17</v>
      </c>
      <c r="D5" s="180"/>
      <c r="E5" s="179" t="s">
        <v>18</v>
      </c>
      <c r="F5" s="178"/>
      <c r="G5" s="179" t="s">
        <v>19</v>
      </c>
      <c r="H5" s="181"/>
      <c r="I5" s="182"/>
      <c r="J5" s="183"/>
      <c r="K5" s="184" t="s">
        <v>20</v>
      </c>
      <c r="L5" s="180"/>
      <c r="M5" s="184" t="s">
        <v>21</v>
      </c>
      <c r="N5" s="180"/>
      <c r="O5" s="185"/>
      <c r="P5" s="186">
        <f>+L2</f>
        <v>0</v>
      </c>
      <c r="Q5" s="187"/>
      <c r="R5" s="188"/>
      <c r="S5" s="189"/>
    </row>
    <row r="6" spans="1:19" s="52" customFormat="1" ht="18">
      <c r="A6" s="190" t="s">
        <v>22</v>
      </c>
      <c r="B6" s="191" t="s">
        <v>23</v>
      </c>
      <c r="C6" s="192"/>
      <c r="D6" s="192"/>
      <c r="E6" s="193"/>
      <c r="F6" s="194" t="s">
        <v>25</v>
      </c>
      <c r="G6" s="194" t="s">
        <v>26</v>
      </c>
      <c r="H6" s="194" t="s">
        <v>27</v>
      </c>
      <c r="I6" s="194" t="s">
        <v>28</v>
      </c>
      <c r="J6" s="194" t="s">
        <v>29</v>
      </c>
      <c r="K6" s="194" t="s">
        <v>30</v>
      </c>
      <c r="L6" s="194" t="s">
        <v>31</v>
      </c>
      <c r="M6" s="151" t="s">
        <v>32</v>
      </c>
      <c r="N6" s="154"/>
      <c r="O6" s="194" t="s">
        <v>33</v>
      </c>
      <c r="P6" s="194" t="s">
        <v>24</v>
      </c>
      <c r="Q6" s="195" t="s">
        <v>34</v>
      </c>
      <c r="R6" s="196" t="s">
        <v>5</v>
      </c>
      <c r="S6" s="197"/>
    </row>
    <row r="7" spans="1:21" s="52" customFormat="1" ht="18">
      <c r="A7" s="198"/>
      <c r="B7" s="199"/>
      <c r="C7" s="200"/>
      <c r="D7" s="200"/>
      <c r="E7" s="201"/>
      <c r="F7" s="202"/>
      <c r="G7" s="31">
        <f>+IF(+A7&lt;&gt;"",+$L$2+$J$4+A7,"")</f>
      </c>
      <c r="H7" s="31">
        <f>+IF(A7&lt;&gt;"",+F7+$J$2+(A7*4),"")</f>
      </c>
      <c r="I7" s="203"/>
      <c r="J7" s="202"/>
      <c r="K7" s="202"/>
      <c r="L7" s="202"/>
      <c r="M7" s="199"/>
      <c r="N7" s="204"/>
      <c r="O7" s="202"/>
      <c r="P7" s="205"/>
      <c r="Q7" s="202"/>
      <c r="R7" s="32"/>
      <c r="S7" s="161"/>
      <c r="T7" s="206"/>
      <c r="U7" s="206"/>
    </row>
    <row r="8" spans="1:20" s="52" customFormat="1" ht="18">
      <c r="A8" s="198"/>
      <c r="B8" s="199"/>
      <c r="C8" s="200"/>
      <c r="D8" s="200"/>
      <c r="E8" s="201"/>
      <c r="F8" s="202"/>
      <c r="G8" s="31">
        <f>+IF(+A8&lt;&gt;"",+$L$2+$J$4+A8,"")</f>
      </c>
      <c r="H8" s="31">
        <f>+IF(+A8&lt;&gt;"",+F8+$J$2+(A8*4),"")</f>
      </c>
      <c r="I8" s="202"/>
      <c r="J8" s="202"/>
      <c r="K8" s="202"/>
      <c r="L8" s="202"/>
      <c r="M8" s="199"/>
      <c r="N8" s="204"/>
      <c r="O8" s="202"/>
      <c r="P8" s="202"/>
      <c r="Q8" s="202"/>
      <c r="R8" s="207"/>
      <c r="S8" s="161"/>
      <c r="T8" s="52" t="s">
        <v>88</v>
      </c>
    </row>
    <row r="9" spans="1:19" s="52" customFormat="1" ht="18">
      <c r="A9" s="198"/>
      <c r="B9" s="199"/>
      <c r="C9" s="200"/>
      <c r="D9" s="200"/>
      <c r="E9" s="201"/>
      <c r="F9" s="202"/>
      <c r="G9" s="31">
        <f>+IF(+A9&lt;&gt;"",+$L$2+$J$4+A9,"")</f>
      </c>
      <c r="H9" s="31">
        <f>+IF(+A9&lt;&gt;"",+F9+$J$2+(A9*4),"")</f>
      </c>
      <c r="I9" s="203"/>
      <c r="J9" s="202"/>
      <c r="K9" s="202"/>
      <c r="L9" s="202"/>
      <c r="M9" s="208" t="s">
        <v>35</v>
      </c>
      <c r="N9" s="209"/>
      <c r="O9" s="210"/>
      <c r="P9" s="211" t="s">
        <v>36</v>
      </c>
      <c r="Q9" s="211" t="s">
        <v>37</v>
      </c>
      <c r="R9" s="212" t="s">
        <v>4</v>
      </c>
      <c r="S9" s="197"/>
    </row>
    <row r="10" spans="1:19" s="52" customFormat="1" ht="18">
      <c r="A10" s="198"/>
      <c r="B10" s="199"/>
      <c r="C10" s="200"/>
      <c r="D10" s="200"/>
      <c r="E10" s="201"/>
      <c r="F10" s="202"/>
      <c r="G10" s="31">
        <f>+IF(+A10&lt;&gt;"",+$L$2+$J$4+A10,"")</f>
      </c>
      <c r="H10" s="31">
        <f>+IF(+A10&lt;&gt;"",+F10+$J$2+(A10*4),"")</f>
      </c>
      <c r="I10" s="203"/>
      <c r="J10" s="202"/>
      <c r="K10" s="202"/>
      <c r="L10" s="202"/>
      <c r="M10" s="199"/>
      <c r="N10" s="200"/>
      <c r="O10" s="204"/>
      <c r="P10" s="202"/>
      <c r="Q10" s="202"/>
      <c r="R10" s="32"/>
      <c r="S10" s="161"/>
    </row>
    <row r="11" spans="1:20" s="52" customFormat="1" ht="18.75" thickBot="1">
      <c r="A11" s="198"/>
      <c r="B11" s="87"/>
      <c r="C11" s="182"/>
      <c r="D11" s="182"/>
      <c r="E11" s="183"/>
      <c r="F11" s="202"/>
      <c r="G11" s="31">
        <f>+IF(+A11&lt;&gt;"",+$L$2+$J$4+A11,"")</f>
      </c>
      <c r="H11" s="31">
        <f>+IF(+A11&lt;&gt;"",+F11+$J$2+(A11*4),"")</f>
      </c>
      <c r="I11" s="202"/>
      <c r="J11" s="202"/>
      <c r="K11" s="202"/>
      <c r="L11" s="202"/>
      <c r="M11" s="213"/>
      <c r="N11" s="214"/>
      <c r="O11" s="215"/>
      <c r="P11" s="202"/>
      <c r="Q11" s="202"/>
      <c r="R11" s="207"/>
      <c r="S11" s="161"/>
      <c r="T11" s="52" t="s">
        <v>89</v>
      </c>
    </row>
    <row r="12" spans="1:19" s="52" customFormat="1" ht="18.75" thickBot="1">
      <c r="A12" s="216" t="s">
        <v>38</v>
      </c>
      <c r="B12" s="217" t="s">
        <v>204</v>
      </c>
      <c r="C12" s="218"/>
      <c r="D12" s="218"/>
      <c r="E12" s="218"/>
      <c r="F12" s="218"/>
      <c r="G12" s="219" t="s">
        <v>39</v>
      </c>
      <c r="H12" s="220"/>
      <c r="I12" s="220"/>
      <c r="J12" s="220"/>
      <c r="K12" s="220"/>
      <c r="L12" s="221" t="str">
        <f>+IF(B12&lt;&gt;"",+P3,+P3+20)&amp;"%"</f>
        <v>%</v>
      </c>
      <c r="M12" s="222"/>
      <c r="N12" s="222"/>
      <c r="O12" s="222"/>
      <c r="P12" s="222"/>
      <c r="Q12" s="220"/>
      <c r="R12" s="223"/>
      <c r="S12" s="156"/>
    </row>
    <row r="13" spans="1:21" s="52" customFormat="1" ht="18">
      <c r="A13" s="224"/>
      <c r="B13" s="225"/>
      <c r="C13" s="226"/>
      <c r="D13" s="227"/>
      <c r="E13" s="225"/>
      <c r="F13" s="226"/>
      <c r="G13" s="227"/>
      <c r="H13" s="227"/>
      <c r="I13" s="227"/>
      <c r="J13" s="225"/>
      <c r="K13" s="228"/>
      <c r="L13" s="228"/>
      <c r="M13" s="224"/>
      <c r="N13" s="227"/>
      <c r="O13" s="227"/>
      <c r="P13" s="225"/>
      <c r="Q13" s="226"/>
      <c r="R13" s="229"/>
      <c r="S13" s="230"/>
      <c r="T13" s="231" t="s">
        <v>40</v>
      </c>
      <c r="U13" s="232"/>
    </row>
    <row r="14" spans="1:21" s="52" customFormat="1" ht="18">
      <c r="A14" s="233" t="s">
        <v>41</v>
      </c>
      <c r="B14" s="234"/>
      <c r="C14" s="235" t="s">
        <v>42</v>
      </c>
      <c r="D14" s="236"/>
      <c r="E14" s="234"/>
      <c r="F14" s="235" t="s">
        <v>43</v>
      </c>
      <c r="G14" s="236"/>
      <c r="H14" s="236"/>
      <c r="I14" s="236"/>
      <c r="J14" s="234"/>
      <c r="K14" s="237" t="s">
        <v>36</v>
      </c>
      <c r="L14" s="237" t="s">
        <v>37</v>
      </c>
      <c r="M14" s="233" t="s">
        <v>44</v>
      </c>
      <c r="N14" s="236"/>
      <c r="O14" s="236"/>
      <c r="P14" s="234"/>
      <c r="Q14" s="238" t="s">
        <v>45</v>
      </c>
      <c r="R14" s="239"/>
      <c r="S14" s="240"/>
      <c r="T14" s="241" t="s">
        <v>46</v>
      </c>
      <c r="U14" s="242"/>
    </row>
    <row r="15" spans="1:21" s="249" customFormat="1" ht="18">
      <c r="A15" s="243" t="s">
        <v>47</v>
      </c>
      <c r="B15" s="201"/>
      <c r="C15" s="199" t="s">
        <v>98</v>
      </c>
      <c r="D15" s="200"/>
      <c r="E15" s="204"/>
      <c r="F15" s="199" t="s">
        <v>111</v>
      </c>
      <c r="G15" s="200"/>
      <c r="H15" s="200"/>
      <c r="I15" s="200"/>
      <c r="J15" s="204"/>
      <c r="K15" s="202">
        <v>0</v>
      </c>
      <c r="L15" s="68">
        <f>+(ROUNDUP((L2+P3)/2,0))+(K15*8)</f>
        <v>0</v>
      </c>
      <c r="M15" s="244"/>
      <c r="N15" s="200"/>
      <c r="O15" s="200"/>
      <c r="P15" s="204"/>
      <c r="Q15" s="245"/>
      <c r="R15" s="246"/>
      <c r="S15" s="247"/>
      <c r="T15" s="53"/>
      <c r="U15" s="248"/>
    </row>
    <row r="16" spans="1:21" s="249" customFormat="1" ht="18">
      <c r="A16" s="243" t="s">
        <v>48</v>
      </c>
      <c r="B16" s="201"/>
      <c r="C16" s="199" t="s">
        <v>99</v>
      </c>
      <c r="D16" s="200"/>
      <c r="E16" s="204"/>
      <c r="F16" s="199" t="s">
        <v>100</v>
      </c>
      <c r="G16" s="200"/>
      <c r="H16" s="200"/>
      <c r="I16" s="200"/>
      <c r="J16" s="204"/>
      <c r="K16" s="202">
        <v>0</v>
      </c>
      <c r="L16" s="68">
        <f>+(L3*3)+(K16*5)+O7+O8</f>
        <v>0</v>
      </c>
      <c r="M16" s="244"/>
      <c r="N16" s="200"/>
      <c r="O16" s="200"/>
      <c r="P16" s="204"/>
      <c r="Q16" s="245"/>
      <c r="R16" s="246"/>
      <c r="S16" s="247"/>
      <c r="T16" s="53"/>
      <c r="U16" s="248"/>
    </row>
    <row r="17" spans="1:21" s="249" customFormat="1" ht="18">
      <c r="A17" s="244" t="s">
        <v>91</v>
      </c>
      <c r="B17" s="204"/>
      <c r="C17" s="199" t="s">
        <v>101</v>
      </c>
      <c r="D17" s="200"/>
      <c r="E17" s="204"/>
      <c r="F17" s="199" t="s">
        <v>106</v>
      </c>
      <c r="G17" s="200"/>
      <c r="H17" s="200"/>
      <c r="I17" s="200"/>
      <c r="J17" s="204"/>
      <c r="K17" s="202">
        <v>0</v>
      </c>
      <c r="L17" s="68">
        <f>+(J4*4)+(K17*8)</f>
        <v>0</v>
      </c>
      <c r="M17" s="244"/>
      <c r="N17" s="200"/>
      <c r="O17" s="200"/>
      <c r="P17" s="204"/>
      <c r="Q17" s="245"/>
      <c r="R17" s="246"/>
      <c r="S17" s="247"/>
      <c r="T17" s="53"/>
      <c r="U17" s="248"/>
    </row>
    <row r="18" spans="1:21" s="249" customFormat="1" ht="18">
      <c r="A18" s="244" t="s">
        <v>92</v>
      </c>
      <c r="B18" s="204"/>
      <c r="C18" s="199" t="s">
        <v>102</v>
      </c>
      <c r="D18" s="200"/>
      <c r="E18" s="204"/>
      <c r="F18" s="199" t="s">
        <v>103</v>
      </c>
      <c r="G18" s="200"/>
      <c r="H18" s="200"/>
      <c r="I18" s="200"/>
      <c r="J18" s="204"/>
      <c r="K18" s="202">
        <v>0</v>
      </c>
      <c r="L18" s="68">
        <f>+(H3)+(K18*8)+L3+R3</f>
        <v>0</v>
      </c>
      <c r="M18" s="244"/>
      <c r="N18" s="200"/>
      <c r="O18" s="200"/>
      <c r="P18" s="204"/>
      <c r="Q18" s="245"/>
      <c r="R18" s="246"/>
      <c r="S18" s="247"/>
      <c r="T18" s="53"/>
      <c r="U18" s="248"/>
    </row>
    <row r="19" spans="1:21" s="249" customFormat="1" ht="18">
      <c r="A19" s="244" t="s">
        <v>93</v>
      </c>
      <c r="B19" s="204"/>
      <c r="C19" s="199" t="s">
        <v>104</v>
      </c>
      <c r="D19" s="200"/>
      <c r="E19" s="204"/>
      <c r="F19" s="199" t="s">
        <v>105</v>
      </c>
      <c r="G19" s="200"/>
      <c r="H19" s="200"/>
      <c r="I19" s="200"/>
      <c r="J19" s="204"/>
      <c r="K19" s="202">
        <v>0</v>
      </c>
      <c r="L19" s="68">
        <f>+(L3*3)+(K19*10)</f>
        <v>0</v>
      </c>
      <c r="M19" s="244"/>
      <c r="N19" s="200"/>
      <c r="O19" s="200"/>
      <c r="P19" s="204"/>
      <c r="Q19" s="245"/>
      <c r="R19" s="246"/>
      <c r="S19" s="247"/>
      <c r="T19" s="53"/>
      <c r="U19" s="248"/>
    </row>
    <row r="20" spans="1:21" s="249" customFormat="1" ht="18">
      <c r="A20" s="244" t="s">
        <v>94</v>
      </c>
      <c r="B20" s="204"/>
      <c r="C20" s="199"/>
      <c r="D20" s="200"/>
      <c r="E20" s="204"/>
      <c r="F20" s="199"/>
      <c r="G20" s="200"/>
      <c r="H20" s="200"/>
      <c r="I20" s="200"/>
      <c r="J20" s="204"/>
      <c r="K20" s="202">
        <v>0</v>
      </c>
      <c r="L20" s="202"/>
      <c r="M20" s="244"/>
      <c r="N20" s="200"/>
      <c r="O20" s="200"/>
      <c r="P20" s="204"/>
      <c r="Q20" s="245"/>
      <c r="R20" s="246"/>
      <c r="S20" s="247"/>
      <c r="T20" s="53"/>
      <c r="U20" s="248"/>
    </row>
    <row r="21" spans="1:21" s="249" customFormat="1" ht="18">
      <c r="A21" s="250"/>
      <c r="B21" s="251"/>
      <c r="C21" s="252"/>
      <c r="D21" s="253"/>
      <c r="E21" s="254"/>
      <c r="F21" s="199"/>
      <c r="G21" s="200"/>
      <c r="H21" s="200"/>
      <c r="I21" s="200"/>
      <c r="J21" s="204"/>
      <c r="K21" s="202"/>
      <c r="L21" s="202"/>
      <c r="M21" s="244"/>
      <c r="N21" s="200"/>
      <c r="O21" s="200"/>
      <c r="P21" s="204"/>
      <c r="Q21" s="245"/>
      <c r="R21" s="246"/>
      <c r="S21" s="247"/>
      <c r="T21" s="54"/>
      <c r="U21" s="248"/>
    </row>
    <row r="22" spans="1:21" s="249" customFormat="1" ht="18">
      <c r="A22" s="244"/>
      <c r="B22" s="204"/>
      <c r="C22" s="252"/>
      <c r="D22" s="253"/>
      <c r="E22" s="254"/>
      <c r="F22" s="199"/>
      <c r="G22" s="200"/>
      <c r="H22" s="200"/>
      <c r="I22" s="200"/>
      <c r="J22" s="204"/>
      <c r="K22" s="202"/>
      <c r="L22" s="202"/>
      <c r="M22" s="244"/>
      <c r="N22" s="200"/>
      <c r="O22" s="200"/>
      <c r="P22" s="204"/>
      <c r="Q22" s="245"/>
      <c r="R22" s="246"/>
      <c r="S22" s="247"/>
      <c r="T22" s="53"/>
      <c r="U22" s="248"/>
    </row>
    <row r="23" spans="1:21" s="249" customFormat="1" ht="18">
      <c r="A23" s="244"/>
      <c r="B23" s="204"/>
      <c r="C23" s="252"/>
      <c r="D23" s="253"/>
      <c r="E23" s="254"/>
      <c r="F23" s="199"/>
      <c r="G23" s="200"/>
      <c r="H23" s="200"/>
      <c r="I23" s="200"/>
      <c r="J23" s="204"/>
      <c r="K23" s="202"/>
      <c r="L23" s="202"/>
      <c r="M23" s="244"/>
      <c r="N23" s="200"/>
      <c r="O23" s="200"/>
      <c r="P23" s="204"/>
      <c r="Q23" s="245"/>
      <c r="R23" s="246"/>
      <c r="S23" s="247"/>
      <c r="T23" s="53"/>
      <c r="U23" s="248"/>
    </row>
    <row r="24" spans="1:21" s="249" customFormat="1" ht="18">
      <c r="A24" s="244"/>
      <c r="B24" s="255"/>
      <c r="C24" s="252"/>
      <c r="D24" s="256"/>
      <c r="E24" s="257"/>
      <c r="F24" s="199"/>
      <c r="G24" s="258"/>
      <c r="H24" s="258"/>
      <c r="I24" s="258"/>
      <c r="J24" s="259"/>
      <c r="K24" s="202"/>
      <c r="L24" s="202"/>
      <c r="M24" s="244"/>
      <c r="N24" s="200"/>
      <c r="O24" s="200"/>
      <c r="P24" s="204"/>
      <c r="Q24" s="245"/>
      <c r="R24" s="246"/>
      <c r="S24" s="247"/>
      <c r="T24" s="53"/>
      <c r="U24" s="248"/>
    </row>
    <row r="25" spans="1:21" s="249" customFormat="1" ht="18">
      <c r="A25" s="250"/>
      <c r="B25" s="260"/>
      <c r="C25" s="252"/>
      <c r="D25" s="256"/>
      <c r="E25" s="257"/>
      <c r="F25" s="252"/>
      <c r="G25" s="256"/>
      <c r="H25" s="256"/>
      <c r="I25" s="256"/>
      <c r="J25" s="257"/>
      <c r="K25" s="202"/>
      <c r="L25" s="202"/>
      <c r="M25" s="244"/>
      <c r="N25" s="200"/>
      <c r="O25" s="200"/>
      <c r="P25" s="204"/>
      <c r="Q25" s="245"/>
      <c r="R25" s="246"/>
      <c r="S25" s="247"/>
      <c r="T25" s="53"/>
      <c r="U25" s="248"/>
    </row>
    <row r="26" spans="1:21" s="249" customFormat="1" ht="18">
      <c r="A26" s="261"/>
      <c r="B26" s="262"/>
      <c r="C26" s="252"/>
      <c r="D26" s="256"/>
      <c r="E26" s="257"/>
      <c r="F26" s="199"/>
      <c r="G26" s="258"/>
      <c r="H26" s="258"/>
      <c r="I26" s="258"/>
      <c r="J26" s="259"/>
      <c r="K26" s="202"/>
      <c r="L26" s="202"/>
      <c r="M26" s="244"/>
      <c r="N26" s="200"/>
      <c r="O26" s="200"/>
      <c r="P26" s="204"/>
      <c r="Q26" s="245"/>
      <c r="R26" s="246"/>
      <c r="S26" s="247"/>
      <c r="T26" s="53"/>
      <c r="U26" s="248"/>
    </row>
    <row r="27" spans="1:21" s="249" customFormat="1" ht="18">
      <c r="A27" s="244"/>
      <c r="B27" s="204"/>
      <c r="C27" s="199"/>
      <c r="D27" s="200"/>
      <c r="E27" s="204"/>
      <c r="F27" s="199"/>
      <c r="G27" s="200"/>
      <c r="H27" s="200"/>
      <c r="I27" s="200"/>
      <c r="J27" s="204"/>
      <c r="K27" s="202"/>
      <c r="L27" s="202"/>
      <c r="M27" s="244"/>
      <c r="N27" s="200"/>
      <c r="O27" s="200"/>
      <c r="P27" s="204"/>
      <c r="Q27" s="245"/>
      <c r="R27" s="246"/>
      <c r="S27" s="247"/>
      <c r="T27" s="53"/>
      <c r="U27" s="248"/>
    </row>
    <row r="28" spans="1:21" s="249" customFormat="1" ht="18">
      <c r="A28" s="250"/>
      <c r="B28" s="251"/>
      <c r="C28" s="252"/>
      <c r="D28" s="253"/>
      <c r="E28" s="254"/>
      <c r="F28" s="199"/>
      <c r="G28" s="200"/>
      <c r="H28" s="200"/>
      <c r="I28" s="200"/>
      <c r="J28" s="204"/>
      <c r="K28" s="202"/>
      <c r="L28" s="202"/>
      <c r="M28" s="263"/>
      <c r="N28" s="264"/>
      <c r="O28" s="264"/>
      <c r="P28" s="201"/>
      <c r="Q28" s="90"/>
      <c r="R28" s="91"/>
      <c r="S28" s="247"/>
      <c r="T28" s="53"/>
      <c r="U28" s="248"/>
    </row>
    <row r="29" spans="1:21" s="249" customFormat="1" ht="18">
      <c r="A29" s="244"/>
      <c r="B29" s="204"/>
      <c r="C29" s="252"/>
      <c r="D29" s="253"/>
      <c r="E29" s="254"/>
      <c r="F29" s="199"/>
      <c r="G29" s="200"/>
      <c r="H29" s="200"/>
      <c r="I29" s="200"/>
      <c r="J29" s="204"/>
      <c r="K29" s="202"/>
      <c r="L29" s="202"/>
      <c r="M29" s="244"/>
      <c r="N29" s="200"/>
      <c r="O29" s="200"/>
      <c r="P29" s="204"/>
      <c r="Q29" s="245"/>
      <c r="R29" s="246"/>
      <c r="S29" s="247"/>
      <c r="T29" s="53"/>
      <c r="U29" s="248"/>
    </row>
    <row r="30" spans="1:21" s="265" customFormat="1" ht="18">
      <c r="A30" s="244"/>
      <c r="B30" s="204"/>
      <c r="C30" s="252"/>
      <c r="D30" s="253"/>
      <c r="E30" s="254"/>
      <c r="F30" s="199"/>
      <c r="G30" s="200"/>
      <c r="H30" s="200"/>
      <c r="I30" s="200"/>
      <c r="J30" s="204"/>
      <c r="K30" s="202"/>
      <c r="L30" s="202"/>
      <c r="M30" s="244"/>
      <c r="N30" s="200"/>
      <c r="O30" s="200"/>
      <c r="P30" s="204"/>
      <c r="Q30" s="245"/>
      <c r="R30" s="246"/>
      <c r="S30" s="247"/>
      <c r="T30" s="53"/>
      <c r="U30" s="248"/>
    </row>
    <row r="31" spans="1:21" s="265" customFormat="1" ht="18">
      <c r="A31" s="244"/>
      <c r="B31" s="255"/>
      <c r="C31" s="199"/>
      <c r="D31" s="258"/>
      <c r="E31" s="259"/>
      <c r="F31" s="199"/>
      <c r="G31" s="258"/>
      <c r="H31" s="258"/>
      <c r="I31" s="258"/>
      <c r="J31" s="259"/>
      <c r="K31" s="202"/>
      <c r="L31" s="202"/>
      <c r="M31" s="244"/>
      <c r="N31" s="200"/>
      <c r="O31" s="200"/>
      <c r="P31" s="204"/>
      <c r="Q31" s="245"/>
      <c r="R31" s="246"/>
      <c r="S31" s="247"/>
      <c r="T31" s="53"/>
      <c r="U31" s="248"/>
    </row>
    <row r="32" spans="1:21" s="249" customFormat="1" ht="18">
      <c r="A32" s="261"/>
      <c r="B32" s="262"/>
      <c r="C32" s="199"/>
      <c r="D32" s="200"/>
      <c r="E32" s="204"/>
      <c r="F32" s="199"/>
      <c r="G32" s="258"/>
      <c r="H32" s="258"/>
      <c r="I32" s="258"/>
      <c r="J32" s="259"/>
      <c r="K32" s="202"/>
      <c r="L32" s="202"/>
      <c r="M32" s="244"/>
      <c r="N32" s="200"/>
      <c r="O32" s="200"/>
      <c r="P32" s="204"/>
      <c r="Q32" s="245"/>
      <c r="R32" s="246"/>
      <c r="S32" s="247"/>
      <c r="T32" s="53"/>
      <c r="U32" s="248"/>
    </row>
    <row r="33" spans="1:21" s="249" customFormat="1" ht="18">
      <c r="A33" s="244"/>
      <c r="B33" s="204"/>
      <c r="C33" s="199"/>
      <c r="D33" s="200"/>
      <c r="E33" s="204"/>
      <c r="F33" s="199"/>
      <c r="G33" s="200"/>
      <c r="H33" s="200"/>
      <c r="I33" s="200"/>
      <c r="J33" s="204"/>
      <c r="K33" s="202"/>
      <c r="L33" s="202"/>
      <c r="M33" s="244"/>
      <c r="N33" s="200"/>
      <c r="O33" s="200"/>
      <c r="P33" s="204"/>
      <c r="Q33" s="245"/>
      <c r="R33" s="246"/>
      <c r="S33" s="247"/>
      <c r="T33" s="53"/>
      <c r="U33" s="248"/>
    </row>
    <row r="34" spans="1:21" s="249" customFormat="1" ht="18">
      <c r="A34" s="244"/>
      <c r="B34" s="204"/>
      <c r="C34" s="199"/>
      <c r="D34" s="200"/>
      <c r="E34" s="204"/>
      <c r="F34" s="199"/>
      <c r="G34" s="200"/>
      <c r="H34" s="200"/>
      <c r="I34" s="200"/>
      <c r="J34" s="204"/>
      <c r="K34" s="202"/>
      <c r="L34" s="202"/>
      <c r="M34" s="244"/>
      <c r="N34" s="200"/>
      <c r="O34" s="200"/>
      <c r="P34" s="204"/>
      <c r="Q34" s="245"/>
      <c r="R34" s="246"/>
      <c r="S34" s="247"/>
      <c r="T34" s="53"/>
      <c r="U34" s="248"/>
    </row>
    <row r="35" spans="1:21" s="249" customFormat="1" ht="18">
      <c r="A35" s="244"/>
      <c r="B35" s="204"/>
      <c r="C35" s="199"/>
      <c r="D35" s="200"/>
      <c r="E35" s="204"/>
      <c r="F35" s="199"/>
      <c r="G35" s="200"/>
      <c r="H35" s="200"/>
      <c r="I35" s="200"/>
      <c r="J35" s="204"/>
      <c r="K35" s="202"/>
      <c r="L35" s="202"/>
      <c r="M35" s="244"/>
      <c r="N35" s="200"/>
      <c r="O35" s="200"/>
      <c r="P35" s="204"/>
      <c r="Q35" s="245"/>
      <c r="R35" s="246"/>
      <c r="S35" s="247"/>
      <c r="T35" s="53"/>
      <c r="U35" s="248"/>
    </row>
    <row r="36" spans="1:21" s="249" customFormat="1" ht="18">
      <c r="A36" s="244"/>
      <c r="B36" s="204"/>
      <c r="C36" s="199"/>
      <c r="D36" s="200"/>
      <c r="E36" s="204"/>
      <c r="F36" s="199"/>
      <c r="G36" s="200"/>
      <c r="H36" s="200"/>
      <c r="I36" s="200"/>
      <c r="J36" s="204"/>
      <c r="K36" s="202"/>
      <c r="L36" s="202"/>
      <c r="M36" s="244"/>
      <c r="N36" s="200"/>
      <c r="O36" s="200"/>
      <c r="P36" s="204"/>
      <c r="Q36" s="245"/>
      <c r="R36" s="246"/>
      <c r="S36" s="247"/>
      <c r="T36" s="53"/>
      <c r="U36" s="248"/>
    </row>
    <row r="37" spans="1:21" s="265" customFormat="1" ht="18">
      <c r="A37" s="244"/>
      <c r="B37" s="204"/>
      <c r="C37" s="199"/>
      <c r="D37" s="200"/>
      <c r="E37" s="204"/>
      <c r="F37" s="199"/>
      <c r="G37" s="200"/>
      <c r="H37" s="200"/>
      <c r="I37" s="200"/>
      <c r="J37" s="204"/>
      <c r="K37" s="202"/>
      <c r="L37" s="202"/>
      <c r="M37" s="244"/>
      <c r="N37" s="200"/>
      <c r="O37" s="200"/>
      <c r="P37" s="204"/>
      <c r="Q37" s="90"/>
      <c r="R37" s="91"/>
      <c r="S37" s="247"/>
      <c r="T37" s="53"/>
      <c r="U37" s="248"/>
    </row>
    <row r="38" spans="1:21" s="265" customFormat="1" ht="18">
      <c r="A38" s="244"/>
      <c r="B38" s="204"/>
      <c r="C38" s="199"/>
      <c r="D38" s="200"/>
      <c r="E38" s="204"/>
      <c r="F38" s="199"/>
      <c r="G38" s="200"/>
      <c r="H38" s="200"/>
      <c r="I38" s="200"/>
      <c r="J38" s="204"/>
      <c r="K38" s="202"/>
      <c r="L38" s="202"/>
      <c r="M38" s="244"/>
      <c r="N38" s="200"/>
      <c r="O38" s="200"/>
      <c r="P38" s="204"/>
      <c r="Q38" s="245"/>
      <c r="R38" s="246"/>
      <c r="S38" s="247"/>
      <c r="T38" s="53"/>
      <c r="U38" s="248"/>
    </row>
    <row r="39" spans="1:21" s="249" customFormat="1" ht="18.75" thickBot="1">
      <c r="A39" s="244"/>
      <c r="B39" s="204"/>
      <c r="C39" s="199"/>
      <c r="D39" s="200"/>
      <c r="E39" s="204"/>
      <c r="F39" s="199"/>
      <c r="G39" s="200"/>
      <c r="H39" s="200"/>
      <c r="I39" s="200"/>
      <c r="J39" s="204"/>
      <c r="K39" s="202"/>
      <c r="L39" s="202"/>
      <c r="M39" s="244"/>
      <c r="N39" s="200"/>
      <c r="O39" s="200"/>
      <c r="P39" s="204"/>
      <c r="Q39" s="245"/>
      <c r="R39" s="246"/>
      <c r="S39" s="247"/>
      <c r="T39" s="53"/>
      <c r="U39" s="248"/>
    </row>
    <row r="40" spans="1:21" s="249" customFormat="1" ht="18">
      <c r="A40" s="266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8"/>
      <c r="M40" s="244"/>
      <c r="N40" s="200"/>
      <c r="O40" s="200"/>
      <c r="P40" s="204"/>
      <c r="Q40" s="245"/>
      <c r="R40" s="246"/>
      <c r="S40" s="247"/>
      <c r="T40" s="53"/>
      <c r="U40" s="248"/>
    </row>
    <row r="41" spans="1:21" s="249" customFormat="1" ht="18">
      <c r="A41" s="269" t="s">
        <v>49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1"/>
      <c r="M41" s="244"/>
      <c r="N41" s="200"/>
      <c r="O41" s="200"/>
      <c r="P41" s="204"/>
      <c r="Q41" s="245"/>
      <c r="R41" s="246"/>
      <c r="S41" s="247"/>
      <c r="T41" s="53"/>
      <c r="U41" s="248"/>
    </row>
    <row r="42" spans="1:21" s="265" customFormat="1" ht="18">
      <c r="A42" s="244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72"/>
      <c r="M42" s="244"/>
      <c r="N42" s="200"/>
      <c r="O42" s="200"/>
      <c r="P42" s="204"/>
      <c r="Q42" s="245"/>
      <c r="R42" s="246"/>
      <c r="S42" s="247"/>
      <c r="T42" s="53"/>
      <c r="U42" s="248"/>
    </row>
    <row r="43" spans="1:21" s="265" customFormat="1" ht="18">
      <c r="A43" s="244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72"/>
      <c r="M43" s="244"/>
      <c r="N43" s="200"/>
      <c r="O43" s="200"/>
      <c r="P43" s="204"/>
      <c r="Q43" s="245"/>
      <c r="R43" s="246"/>
      <c r="S43" s="247"/>
      <c r="T43" s="55"/>
      <c r="U43" s="248"/>
    </row>
    <row r="44" spans="1:21" s="265" customFormat="1" ht="18">
      <c r="A44" s="244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72"/>
      <c r="M44" s="244"/>
      <c r="N44" s="200"/>
      <c r="O44" s="200"/>
      <c r="P44" s="204"/>
      <c r="Q44" s="245"/>
      <c r="R44" s="246"/>
      <c r="S44" s="247"/>
      <c r="T44" s="55"/>
      <c r="U44" s="248"/>
    </row>
    <row r="45" spans="1:21" s="265" customFormat="1" ht="18">
      <c r="A45" s="244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72"/>
      <c r="M45" s="244"/>
      <c r="N45" s="200"/>
      <c r="O45" s="200"/>
      <c r="P45" s="204"/>
      <c r="Q45" s="245"/>
      <c r="R45" s="246"/>
      <c r="S45" s="247"/>
      <c r="T45" s="55"/>
      <c r="U45" s="248"/>
    </row>
    <row r="46" spans="1:21" s="265" customFormat="1" ht="18">
      <c r="A46" s="244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72"/>
      <c r="M46" s="244"/>
      <c r="N46" s="200"/>
      <c r="O46" s="200"/>
      <c r="P46" s="204"/>
      <c r="Q46" s="90"/>
      <c r="R46" s="91"/>
      <c r="S46" s="247"/>
      <c r="T46" s="55"/>
      <c r="U46" s="248"/>
    </row>
    <row r="47" spans="1:21" s="265" customFormat="1" ht="18">
      <c r="A47" s="25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72"/>
      <c r="M47" s="273" t="s">
        <v>50</v>
      </c>
      <c r="N47" s="274"/>
      <c r="O47" s="274"/>
      <c r="P47" s="275"/>
      <c r="Q47" s="90">
        <f>SUM(Q15:R46)</f>
        <v>0</v>
      </c>
      <c r="R47" s="91"/>
      <c r="S47" s="230"/>
      <c r="T47" s="55"/>
      <c r="U47" s="248"/>
    </row>
    <row r="48" spans="1:21" s="265" customFormat="1" ht="18.75" thickBot="1">
      <c r="A48" s="276" t="s">
        <v>138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8"/>
      <c r="M48" s="279" t="s">
        <v>51</v>
      </c>
      <c r="N48" s="227"/>
      <c r="O48" s="227"/>
      <c r="P48" s="225"/>
      <c r="Q48" s="280"/>
      <c r="R48" s="281"/>
      <c r="S48" s="282"/>
      <c r="T48" s="55"/>
      <c r="U48" s="248"/>
    </row>
    <row r="49" spans="1:21" s="265" customFormat="1" ht="18">
      <c r="A49" s="283" t="s">
        <v>52</v>
      </c>
      <c r="B49" s="284"/>
      <c r="C49" s="285"/>
      <c r="D49" s="286" t="s">
        <v>53</v>
      </c>
      <c r="E49" s="287"/>
      <c r="F49" s="288" t="s">
        <v>109</v>
      </c>
      <c r="G49" s="289"/>
      <c r="H49" s="290" t="s">
        <v>206</v>
      </c>
      <c r="I49" s="267"/>
      <c r="J49" s="267"/>
      <c r="K49" s="267"/>
      <c r="L49" s="267"/>
      <c r="M49" s="267"/>
      <c r="N49" s="267"/>
      <c r="O49" s="267"/>
      <c r="P49" s="267"/>
      <c r="Q49" s="267"/>
      <c r="R49" s="268"/>
      <c r="S49" s="282"/>
      <c r="T49" s="55"/>
      <c r="U49" s="248"/>
    </row>
    <row r="50" spans="1:21" s="265" customFormat="1" ht="18">
      <c r="A50" s="291" t="s">
        <v>54</v>
      </c>
      <c r="B50" s="292"/>
      <c r="C50" s="293"/>
      <c r="D50" s="294"/>
      <c r="E50" s="295"/>
      <c r="F50" s="95"/>
      <c r="G50" s="281"/>
      <c r="H50" s="296"/>
      <c r="I50" s="297"/>
      <c r="J50" s="297"/>
      <c r="K50" s="297"/>
      <c r="L50" s="297"/>
      <c r="M50" s="297"/>
      <c r="N50" s="297"/>
      <c r="O50" s="297"/>
      <c r="P50" s="297"/>
      <c r="Q50" s="297"/>
      <c r="R50" s="298"/>
      <c r="S50" s="282"/>
      <c r="T50" s="55"/>
      <c r="U50" s="248"/>
    </row>
    <row r="51" spans="1:21" s="265" customFormat="1" ht="18.75" thickBot="1">
      <c r="A51" s="291" t="s">
        <v>55</v>
      </c>
      <c r="B51" s="292"/>
      <c r="C51" s="293"/>
      <c r="D51" s="294"/>
      <c r="E51" s="295"/>
      <c r="F51" s="94"/>
      <c r="G51" s="299"/>
      <c r="H51" s="300"/>
      <c r="I51" s="301"/>
      <c r="J51" s="301"/>
      <c r="K51" s="301"/>
      <c r="L51" s="301"/>
      <c r="M51" s="301"/>
      <c r="N51" s="301"/>
      <c r="O51" s="301"/>
      <c r="P51" s="301"/>
      <c r="Q51" s="301"/>
      <c r="R51" s="302"/>
      <c r="S51" s="282"/>
      <c r="T51" s="55"/>
      <c r="U51" s="248"/>
    </row>
    <row r="52" spans="1:21" s="265" customFormat="1" ht="18">
      <c r="A52" s="291" t="s">
        <v>56</v>
      </c>
      <c r="B52" s="292"/>
      <c r="C52" s="293"/>
      <c r="D52" s="294"/>
      <c r="E52" s="295"/>
      <c r="F52" s="94"/>
      <c r="G52" s="299"/>
      <c r="H52" s="303" t="s">
        <v>58</v>
      </c>
      <c r="I52" s="304"/>
      <c r="J52" s="304"/>
      <c r="K52" s="304"/>
      <c r="L52" s="304"/>
      <c r="M52" s="304"/>
      <c r="N52" s="304"/>
      <c r="O52" s="304"/>
      <c r="P52" s="305"/>
      <c r="Q52" s="306" t="s">
        <v>59</v>
      </c>
      <c r="R52" s="307"/>
      <c r="S52" s="308"/>
      <c r="T52" s="53" t="s">
        <v>60</v>
      </c>
      <c r="U52" s="56">
        <f>+Q53</f>
        <v>0</v>
      </c>
    </row>
    <row r="53" spans="1:21" s="265" customFormat="1" ht="18.75" thickBot="1">
      <c r="A53" s="309" t="s">
        <v>57</v>
      </c>
      <c r="B53" s="310"/>
      <c r="C53" s="311"/>
      <c r="D53" s="312"/>
      <c r="E53" s="313"/>
      <c r="F53" s="93"/>
      <c r="G53" s="314"/>
      <c r="H53" s="315"/>
      <c r="I53" s="316"/>
      <c r="J53" s="316"/>
      <c r="K53" s="316"/>
      <c r="L53" s="316"/>
      <c r="M53" s="316"/>
      <c r="N53" s="316"/>
      <c r="O53" s="316"/>
      <c r="P53" s="317"/>
      <c r="Q53" s="318"/>
      <c r="R53" s="319"/>
      <c r="S53" s="308"/>
      <c r="T53" s="53" t="s">
        <v>61</v>
      </c>
      <c r="U53" s="57">
        <f>SUM(U15:U51)*U52</f>
        <v>0</v>
      </c>
    </row>
    <row r="54" spans="1:21" s="265" customFormat="1" ht="18">
      <c r="A54" s="282" t="s">
        <v>62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T54" s="52"/>
      <c r="U54" s="52"/>
    </row>
    <row r="55" spans="1:21" s="265" customFormat="1" ht="18">
      <c r="A55" s="282" t="s">
        <v>64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T55" s="52" t="s">
        <v>63</v>
      </c>
      <c r="U55" s="52">
        <f>+'Magic Record'!L51</f>
        <v>0</v>
      </c>
    </row>
    <row r="56" spans="1:21" s="265" customFormat="1" ht="18.75" thickBot="1">
      <c r="A56" s="282" t="s">
        <v>66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T56" s="52" t="s">
        <v>65</v>
      </c>
      <c r="U56" s="58">
        <f>+U53+U55</f>
        <v>0</v>
      </c>
    </row>
    <row r="57" spans="1:12" s="265" customFormat="1" ht="15.75" thickTop="1">
      <c r="A57" s="282" t="s">
        <v>67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</row>
    <row r="58" spans="1:12" s="265" customFormat="1" ht="15">
      <c r="A58" s="282" t="s">
        <v>68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</row>
    <row r="59" spans="1:12" s="265" customFormat="1" ht="15">
      <c r="A59" s="282" t="s">
        <v>69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</row>
    <row r="60" spans="1:12" s="265" customFormat="1" ht="15">
      <c r="A60" s="282" t="s">
        <v>70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</row>
    <row r="61" spans="1:12" s="265" customFormat="1" ht="15">
      <c r="A61" s="282" t="s">
        <v>90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</row>
    <row r="62" spans="1:12" s="265" customFormat="1" ht="15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</row>
    <row r="63" spans="1:12" s="265" customFormat="1" ht="15">
      <c r="A63" s="282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</row>
    <row r="64" spans="1:12" s="265" customFormat="1" ht="15">
      <c r="A64" s="282"/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</row>
    <row r="65" spans="1:12" s="265" customFormat="1" ht="15">
      <c r="A65" s="282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</row>
    <row r="66" spans="1:12" s="265" customFormat="1" ht="15">
      <c r="A66" s="282"/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</row>
    <row r="67" spans="1:12" s="265" customFormat="1" ht="15">
      <c r="A67" s="282"/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</row>
    <row r="68" spans="1:12" ht="15">
      <c r="A68" s="320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</row>
    <row r="69" spans="1:12" ht="15">
      <c r="A69" s="320"/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</row>
    <row r="70" spans="1:12" ht="15">
      <c r="A70" s="320"/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</row>
    <row r="71" spans="1:12" ht="15">
      <c r="A71" s="320"/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</row>
    <row r="72" spans="1:12" ht="15">
      <c r="A72" s="320"/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320"/>
    </row>
    <row r="73" spans="1:12" ht="15">
      <c r="A73" s="320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</row>
    <row r="74" spans="1:12" ht="15">
      <c r="A74" s="320"/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0"/>
    </row>
    <row r="75" spans="1:12" ht="15">
      <c r="A75" s="320"/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</row>
    <row r="76" spans="1:12" ht="15">
      <c r="A76" s="320"/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</row>
    <row r="77" spans="1:12" ht="15">
      <c r="A77" s="320"/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320"/>
    </row>
    <row r="78" spans="1:12" ht="15">
      <c r="A78" s="320"/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0"/>
    </row>
    <row r="79" spans="1:12" ht="15">
      <c r="A79" s="320"/>
      <c r="B79" s="320"/>
      <c r="C79" s="320"/>
      <c r="D79" s="320"/>
      <c r="E79" s="320"/>
      <c r="F79" s="320"/>
      <c r="G79" s="320"/>
      <c r="H79" s="320"/>
      <c r="I79" s="320"/>
      <c r="J79" s="320"/>
      <c r="K79" s="320"/>
      <c r="L79" s="320"/>
    </row>
    <row r="80" spans="1:12" ht="15">
      <c r="A80" s="320"/>
      <c r="B80" s="320"/>
      <c r="C80" s="320"/>
      <c r="D80" s="320"/>
      <c r="E80" s="320"/>
      <c r="F80" s="320"/>
      <c r="G80" s="320"/>
      <c r="H80" s="320"/>
      <c r="I80" s="320"/>
      <c r="J80" s="320"/>
      <c r="K80" s="320"/>
      <c r="L80" s="320"/>
    </row>
    <row r="81" spans="1:12" ht="15">
      <c r="A81" s="320"/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0"/>
    </row>
    <row r="82" spans="1:12" ht="15">
      <c r="A82" s="320"/>
      <c r="B82" s="320"/>
      <c r="C82" s="320"/>
      <c r="D82" s="320"/>
      <c r="E82" s="320"/>
      <c r="F82" s="320"/>
      <c r="G82" s="320"/>
      <c r="H82" s="320"/>
      <c r="I82" s="320"/>
      <c r="J82" s="320"/>
      <c r="K82" s="320"/>
      <c r="L82" s="320"/>
    </row>
    <row r="83" spans="1:12" ht="15">
      <c r="A83" s="320"/>
      <c r="B83" s="320"/>
      <c r="C83" s="320"/>
      <c r="D83" s="320"/>
      <c r="E83" s="320"/>
      <c r="F83" s="320"/>
      <c r="G83" s="320"/>
      <c r="H83" s="320"/>
      <c r="I83" s="320"/>
      <c r="J83" s="320"/>
      <c r="K83" s="320"/>
      <c r="L83" s="320"/>
    </row>
    <row r="84" spans="1:12" ht="15">
      <c r="A84" s="320"/>
      <c r="B84" s="320"/>
      <c r="C84" s="320"/>
      <c r="D84" s="320"/>
      <c r="E84" s="320"/>
      <c r="F84" s="320"/>
      <c r="G84" s="320"/>
      <c r="H84" s="320"/>
      <c r="I84" s="320"/>
      <c r="J84" s="320"/>
      <c r="K84" s="320"/>
      <c r="L84" s="320"/>
    </row>
    <row r="85" spans="1:12" ht="15">
      <c r="A85" s="320"/>
      <c r="B85" s="320"/>
      <c r="C85" s="320"/>
      <c r="D85" s="320"/>
      <c r="E85" s="320"/>
      <c r="F85" s="320"/>
      <c r="G85" s="320"/>
      <c r="H85" s="320"/>
      <c r="I85" s="320"/>
      <c r="J85" s="320"/>
      <c r="K85" s="320"/>
      <c r="L85" s="320"/>
    </row>
    <row r="86" spans="1:12" ht="15">
      <c r="A86" s="320"/>
      <c r="B86" s="320"/>
      <c r="C86" s="320"/>
      <c r="D86" s="320"/>
      <c r="E86" s="320"/>
      <c r="F86" s="320"/>
      <c r="G86" s="320"/>
      <c r="H86" s="320"/>
      <c r="I86" s="320"/>
      <c r="J86" s="320"/>
      <c r="K86" s="320"/>
      <c r="L86" s="320"/>
    </row>
    <row r="87" spans="1:12" ht="15">
      <c r="A87" s="320"/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</row>
    <row r="88" spans="1:12" ht="15">
      <c r="A88" s="320"/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</row>
    <row r="89" spans="1:12" ht="15">
      <c r="A89" s="320"/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</row>
    <row r="90" spans="1:12" ht="15">
      <c r="A90" s="320"/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</row>
    <row r="91" spans="1:12" ht="15">
      <c r="A91" s="320"/>
      <c r="B91" s="320"/>
      <c r="C91" s="320"/>
      <c r="D91" s="320"/>
      <c r="E91" s="320"/>
      <c r="F91" s="320"/>
      <c r="G91" s="320"/>
      <c r="H91" s="320"/>
      <c r="I91" s="320"/>
      <c r="J91" s="320"/>
      <c r="K91" s="320"/>
      <c r="L91" s="320"/>
    </row>
    <row r="92" spans="1:12" ht="15">
      <c r="A92" s="320"/>
      <c r="B92" s="320"/>
      <c r="C92" s="320"/>
      <c r="D92" s="320"/>
      <c r="E92" s="320"/>
      <c r="F92" s="320"/>
      <c r="G92" s="320"/>
      <c r="H92" s="320"/>
      <c r="I92" s="320"/>
      <c r="J92" s="320"/>
      <c r="K92" s="320"/>
      <c r="L92" s="320"/>
    </row>
    <row r="93" spans="1:12" ht="15">
      <c r="A93" s="320"/>
      <c r="B93" s="320"/>
      <c r="C93" s="320"/>
      <c r="D93" s="320"/>
      <c r="E93" s="320"/>
      <c r="F93" s="320"/>
      <c r="G93" s="320"/>
      <c r="H93" s="320"/>
      <c r="I93" s="320"/>
      <c r="J93" s="320"/>
      <c r="K93" s="320"/>
      <c r="L93" s="320"/>
    </row>
    <row r="94" spans="1:12" ht="15">
      <c r="A94" s="320"/>
      <c r="B94" s="320"/>
      <c r="C94" s="320"/>
      <c r="D94" s="320"/>
      <c r="E94" s="320"/>
      <c r="F94" s="320"/>
      <c r="G94" s="320"/>
      <c r="H94" s="320"/>
      <c r="I94" s="320"/>
      <c r="J94" s="320"/>
      <c r="K94" s="320"/>
      <c r="L94" s="320"/>
    </row>
    <row r="95" spans="1:12" ht="15">
      <c r="A95" s="320"/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</row>
    <row r="96" spans="1:12" ht="15">
      <c r="A96" s="320"/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</row>
    <row r="97" spans="1:12" ht="15">
      <c r="A97" s="320"/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</row>
    <row r="98" spans="1:12" ht="15">
      <c r="A98" s="320"/>
      <c r="B98" s="320"/>
      <c r="C98" s="320"/>
      <c r="D98" s="320"/>
      <c r="E98" s="320"/>
      <c r="F98" s="320"/>
      <c r="G98" s="320"/>
      <c r="H98" s="320"/>
      <c r="I98" s="320"/>
      <c r="J98" s="320"/>
      <c r="K98" s="320"/>
      <c r="L98" s="320"/>
    </row>
    <row r="99" spans="1:12" ht="15">
      <c r="A99" s="320"/>
      <c r="B99" s="320"/>
      <c r="C99" s="320"/>
      <c r="D99" s="320"/>
      <c r="E99" s="320"/>
      <c r="F99" s="320"/>
      <c r="G99" s="320"/>
      <c r="H99" s="320"/>
      <c r="I99" s="320"/>
      <c r="J99" s="320"/>
      <c r="K99" s="320"/>
      <c r="L99" s="320"/>
    </row>
    <row r="100" spans="1:12" ht="15">
      <c r="A100" s="320"/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</row>
    <row r="101" spans="1:12" ht="15">
      <c r="A101" s="320"/>
      <c r="B101" s="320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</row>
    <row r="102" spans="1:12" ht="15">
      <c r="A102" s="320"/>
      <c r="B102" s="320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</row>
    <row r="103" spans="1:12" ht="15">
      <c r="A103" s="320"/>
      <c r="B103" s="320"/>
      <c r="C103" s="320"/>
      <c r="D103" s="320"/>
      <c r="E103" s="320"/>
      <c r="F103" s="320"/>
      <c r="G103" s="320"/>
      <c r="H103" s="320"/>
      <c r="I103" s="320"/>
      <c r="J103" s="320"/>
      <c r="K103" s="320"/>
      <c r="L103" s="320"/>
    </row>
    <row r="104" spans="1:12" ht="15">
      <c r="A104" s="320"/>
      <c r="B104" s="320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</row>
    <row r="105" spans="1:12" ht="15">
      <c r="A105" s="320"/>
      <c r="B105" s="320"/>
      <c r="C105" s="320"/>
      <c r="D105" s="320"/>
      <c r="E105" s="320"/>
      <c r="F105" s="320"/>
      <c r="G105" s="320"/>
      <c r="H105" s="320"/>
      <c r="I105" s="320"/>
      <c r="J105" s="320"/>
      <c r="K105" s="320"/>
      <c r="L105" s="320"/>
    </row>
    <row r="106" spans="1:12" ht="15">
      <c r="A106" s="320"/>
      <c r="B106" s="320"/>
      <c r="C106" s="320"/>
      <c r="D106" s="320"/>
      <c r="E106" s="320"/>
      <c r="F106" s="320"/>
      <c r="G106" s="320"/>
      <c r="H106" s="320"/>
      <c r="I106" s="320"/>
      <c r="J106" s="320"/>
      <c r="K106" s="320"/>
      <c r="L106" s="320"/>
    </row>
    <row r="107" spans="1:12" ht="15">
      <c r="A107" s="320"/>
      <c r="B107" s="320"/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</row>
    <row r="108" spans="1:12" ht="15">
      <c r="A108" s="320"/>
      <c r="B108" s="320"/>
      <c r="C108" s="320"/>
      <c r="D108" s="320"/>
      <c r="E108" s="320"/>
      <c r="F108" s="320"/>
      <c r="G108" s="320"/>
      <c r="H108" s="320"/>
      <c r="I108" s="320"/>
      <c r="J108" s="320"/>
      <c r="K108" s="320"/>
      <c r="L108" s="320"/>
    </row>
    <row r="109" spans="1:12" ht="15">
      <c r="A109" s="320"/>
      <c r="B109" s="320"/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</row>
    <row r="110" spans="1:12" ht="15">
      <c r="A110" s="320"/>
      <c r="B110" s="320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</row>
    <row r="111" spans="1:12" ht="15">
      <c r="A111" s="320"/>
      <c r="B111" s="320"/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</row>
    <row r="112" spans="1:12" ht="15">
      <c r="A112" s="320"/>
      <c r="B112" s="320"/>
      <c r="C112" s="320"/>
      <c r="D112" s="320"/>
      <c r="E112" s="320"/>
      <c r="F112" s="320"/>
      <c r="G112" s="320"/>
      <c r="H112" s="320"/>
      <c r="I112" s="320"/>
      <c r="J112" s="320"/>
      <c r="K112" s="320"/>
      <c r="L112" s="320"/>
    </row>
  </sheetData>
  <mergeCells count="177">
    <mergeCell ref="H49:R49"/>
    <mergeCell ref="A40:L40"/>
    <mergeCell ref="A41:L41"/>
    <mergeCell ref="H50:R50"/>
    <mergeCell ref="A47:L47"/>
    <mergeCell ref="M46:P46"/>
    <mergeCell ref="A48:L48"/>
    <mergeCell ref="A42:L42"/>
    <mergeCell ref="A43:L43"/>
    <mergeCell ref="A44:L44"/>
    <mergeCell ref="H51:R51"/>
    <mergeCell ref="Q48:R48"/>
    <mergeCell ref="M42:P42"/>
    <mergeCell ref="M43:P43"/>
    <mergeCell ref="M44:P44"/>
    <mergeCell ref="Q45:R45"/>
    <mergeCell ref="Q47:R47"/>
    <mergeCell ref="M45:P45"/>
    <mergeCell ref="A45:L45"/>
    <mergeCell ref="A46:L46"/>
    <mergeCell ref="F53:G53"/>
    <mergeCell ref="F52:G52"/>
    <mergeCell ref="F51:G51"/>
    <mergeCell ref="F50:G50"/>
    <mergeCell ref="H53:P53"/>
    <mergeCell ref="Q53:R53"/>
    <mergeCell ref="A19:B19"/>
    <mergeCell ref="F27:J27"/>
    <mergeCell ref="A22:B22"/>
    <mergeCell ref="C22:E22"/>
    <mergeCell ref="A21:B21"/>
    <mergeCell ref="C21:E21"/>
    <mergeCell ref="F21:J21"/>
    <mergeCell ref="A20:B20"/>
    <mergeCell ref="C26:E26"/>
    <mergeCell ref="F22:J22"/>
    <mergeCell ref="A23:B23"/>
    <mergeCell ref="B12:F12"/>
    <mergeCell ref="A17:B17"/>
    <mergeCell ref="A18:B18"/>
    <mergeCell ref="A16:B16"/>
    <mergeCell ref="A15:B15"/>
    <mergeCell ref="C23:E23"/>
    <mergeCell ref="F23:J23"/>
    <mergeCell ref="A24:B24"/>
    <mergeCell ref="C24:E24"/>
    <mergeCell ref="F24:J24"/>
    <mergeCell ref="F25:J25"/>
    <mergeCell ref="C25:E25"/>
    <mergeCell ref="A25:B25"/>
    <mergeCell ref="C33:E33"/>
    <mergeCell ref="F33:J33"/>
    <mergeCell ref="A31:B31"/>
    <mergeCell ref="A27:B27"/>
    <mergeCell ref="C27:E27"/>
    <mergeCell ref="A28:B28"/>
    <mergeCell ref="C28:E28"/>
    <mergeCell ref="C30:E30"/>
    <mergeCell ref="F30:J30"/>
    <mergeCell ref="F28:J28"/>
    <mergeCell ref="A35:B35"/>
    <mergeCell ref="C35:E35"/>
    <mergeCell ref="F35:J35"/>
    <mergeCell ref="A37:B37"/>
    <mergeCell ref="C37:E37"/>
    <mergeCell ref="F37:J37"/>
    <mergeCell ref="A36:B36"/>
    <mergeCell ref="C36:E36"/>
    <mergeCell ref="F36:J36"/>
    <mergeCell ref="M25:P25"/>
    <mergeCell ref="A34:B34"/>
    <mergeCell ref="C34:E34"/>
    <mergeCell ref="F34:J34"/>
    <mergeCell ref="M33:P33"/>
    <mergeCell ref="A29:B29"/>
    <mergeCell ref="C29:E29"/>
    <mergeCell ref="F29:J29"/>
    <mergeCell ref="A30:B30"/>
    <mergeCell ref="A33:B33"/>
    <mergeCell ref="Q14:R14"/>
    <mergeCell ref="M26:P26"/>
    <mergeCell ref="M27:P27"/>
    <mergeCell ref="M29:P29"/>
    <mergeCell ref="M15:P15"/>
    <mergeCell ref="M16:P16"/>
    <mergeCell ref="M17:P17"/>
    <mergeCell ref="M18:P18"/>
    <mergeCell ref="Q26:R26"/>
    <mergeCell ref="Q27:R27"/>
    <mergeCell ref="M38:P38"/>
    <mergeCell ref="M39:P39"/>
    <mergeCell ref="M40:P40"/>
    <mergeCell ref="M41:P41"/>
    <mergeCell ref="B8:E8"/>
    <mergeCell ref="B9:E9"/>
    <mergeCell ref="F31:J31"/>
    <mergeCell ref="F32:J32"/>
    <mergeCell ref="F26:J26"/>
    <mergeCell ref="C17:E17"/>
    <mergeCell ref="C18:E18"/>
    <mergeCell ref="C19:E19"/>
    <mergeCell ref="F15:J15"/>
    <mergeCell ref="F16:J16"/>
    <mergeCell ref="B4:H4"/>
    <mergeCell ref="H5:J5"/>
    <mergeCell ref="B6:E6"/>
    <mergeCell ref="B7:E7"/>
    <mergeCell ref="M36:P36"/>
    <mergeCell ref="M35:P35"/>
    <mergeCell ref="C20:E20"/>
    <mergeCell ref="C31:E31"/>
    <mergeCell ref="C32:E32"/>
    <mergeCell ref="F20:J20"/>
    <mergeCell ref="M31:P31"/>
    <mergeCell ref="M32:P32"/>
    <mergeCell ref="M30:P30"/>
    <mergeCell ref="M34:P34"/>
    <mergeCell ref="M7:N7"/>
    <mergeCell ref="M8:N8"/>
    <mergeCell ref="M10:O10"/>
    <mergeCell ref="M11:O11"/>
    <mergeCell ref="A38:B38"/>
    <mergeCell ref="C38:E38"/>
    <mergeCell ref="F38:J38"/>
    <mergeCell ref="A39:B39"/>
    <mergeCell ref="C39:E39"/>
    <mergeCell ref="F39:J39"/>
    <mergeCell ref="D53:E53"/>
    <mergeCell ref="Q39:R39"/>
    <mergeCell ref="Q40:R40"/>
    <mergeCell ref="Q41:R41"/>
    <mergeCell ref="Q42:R42"/>
    <mergeCell ref="D52:E52"/>
    <mergeCell ref="D49:E49"/>
    <mergeCell ref="D50:E50"/>
    <mergeCell ref="D51:E51"/>
    <mergeCell ref="F49:G49"/>
    <mergeCell ref="Q35:R35"/>
    <mergeCell ref="Q36:R36"/>
    <mergeCell ref="Q37:R37"/>
    <mergeCell ref="Q38:R38"/>
    <mergeCell ref="Q30:R30"/>
    <mergeCell ref="Q31:R31"/>
    <mergeCell ref="Q32:R32"/>
    <mergeCell ref="Q33:R33"/>
    <mergeCell ref="Q21:R21"/>
    <mergeCell ref="Q29:R29"/>
    <mergeCell ref="Q22:R22"/>
    <mergeCell ref="Q23:R23"/>
    <mergeCell ref="Q24:R24"/>
    <mergeCell ref="Q25:R25"/>
    <mergeCell ref="Q28:R28"/>
    <mergeCell ref="Q15:R15"/>
    <mergeCell ref="Q16:R16"/>
    <mergeCell ref="Q46:R46"/>
    <mergeCell ref="Q34:R34"/>
    <mergeCell ref="Q17:R17"/>
    <mergeCell ref="Q18:R18"/>
    <mergeCell ref="Q19:R19"/>
    <mergeCell ref="Q20:R20"/>
    <mergeCell ref="Q44:R44"/>
    <mergeCell ref="Q43:R43"/>
    <mergeCell ref="M22:P22"/>
    <mergeCell ref="F19:J19"/>
    <mergeCell ref="C15:E15"/>
    <mergeCell ref="C16:E16"/>
    <mergeCell ref="F18:J18"/>
    <mergeCell ref="M24:P24"/>
    <mergeCell ref="M37:P37"/>
    <mergeCell ref="B10:E10"/>
    <mergeCell ref="B11:E11"/>
    <mergeCell ref="M23:P23"/>
    <mergeCell ref="M28:P28"/>
    <mergeCell ref="F17:J17"/>
    <mergeCell ref="M19:P19"/>
    <mergeCell ref="M20:P20"/>
    <mergeCell ref="M21:P21"/>
  </mergeCells>
  <printOptions/>
  <pageMargins left="0.5" right="0.3" top="0.3" bottom="0.3" header="0.5" footer="0.5"/>
  <pageSetup fitToHeight="1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="75" zoomScaleNormal="75" workbookViewId="0" topLeftCell="A1">
      <selection activeCell="C32" sqref="C32"/>
    </sheetView>
  </sheetViews>
  <sheetFormatPr defaultColWidth="8.88671875" defaultRowHeight="15"/>
  <cols>
    <col min="1" max="1" width="6.3359375" style="0" customWidth="1"/>
    <col min="2" max="2" width="15.6640625" style="0" customWidth="1"/>
    <col min="3" max="3" width="25.6640625" style="0" customWidth="1"/>
    <col min="4" max="4" width="3.3359375" style="0" customWidth="1"/>
    <col min="5" max="5" width="6.5546875" style="0" customWidth="1"/>
    <col min="6" max="6" width="9.77734375" style="0" customWidth="1"/>
    <col min="7" max="7" width="5.5546875" style="0" customWidth="1"/>
    <col min="8" max="8" width="7.10546875" style="0" customWidth="1"/>
    <col min="9" max="9" width="8.10546875" style="0" customWidth="1"/>
    <col min="10" max="10" width="6.3359375" style="0" customWidth="1"/>
    <col min="11" max="11" width="1.77734375" style="0" customWidth="1"/>
    <col min="12" max="12" width="20.5546875" style="0" customWidth="1"/>
  </cols>
  <sheetData>
    <row r="1" spans="1:10" ht="30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6.5" thickBot="1">
      <c r="A2" s="4" t="s">
        <v>71</v>
      </c>
      <c r="B2" s="5"/>
      <c r="C2" s="5"/>
      <c r="D2" s="6"/>
      <c r="E2" s="6"/>
      <c r="F2" s="6"/>
      <c r="G2" s="6"/>
      <c r="H2" s="6"/>
      <c r="I2" s="6"/>
      <c r="J2" s="7"/>
    </row>
    <row r="3" spans="1:10" ht="15.75">
      <c r="A3" s="43" t="s">
        <v>110</v>
      </c>
      <c r="B3" s="44"/>
      <c r="C3" s="102">
        <f>+'Character Record'!B4</f>
        <v>0</v>
      </c>
      <c r="D3" s="103"/>
      <c r="E3" s="103"/>
      <c r="F3" s="103"/>
      <c r="G3" s="103"/>
      <c r="H3" s="103"/>
      <c r="I3" s="103"/>
      <c r="J3" s="104"/>
    </row>
    <row r="4" spans="1:10" ht="16.5" thickBot="1">
      <c r="A4" s="8" t="s">
        <v>72</v>
      </c>
      <c r="B4" s="9"/>
      <c r="C4" s="82" t="str">
        <f>+IF(+'Character Record'!B12&lt;&gt;"",+'Character Record'!B12,"")</f>
        <v>Earth Magics</v>
      </c>
      <c r="D4" s="83"/>
      <c r="E4" s="83"/>
      <c r="F4" s="83"/>
      <c r="G4" s="83"/>
      <c r="H4" s="83"/>
      <c r="I4" s="83"/>
      <c r="J4" s="84"/>
    </row>
    <row r="5" spans="1:10" ht="15.75">
      <c r="A5" s="2" t="s">
        <v>73</v>
      </c>
      <c r="B5" s="34"/>
      <c r="C5" s="105" t="str">
        <f>"+5% Adept is wearing a sprig of fresh mistletoe"</f>
        <v>+5% Adept is wearing a sprig of fresh mistletoe</v>
      </c>
      <c r="D5" s="92"/>
      <c r="E5" s="92"/>
      <c r="F5" s="92"/>
      <c r="G5" s="92"/>
      <c r="H5" s="92"/>
      <c r="I5" s="92"/>
      <c r="J5" s="106"/>
    </row>
    <row r="6" spans="1:19" ht="15">
      <c r="A6" s="10"/>
      <c r="B6" s="11"/>
      <c r="C6" s="107" t="str">
        <f>"+20% Adept occupies a place of power"</f>
        <v>+20% Adept occupies a place of power</v>
      </c>
      <c r="D6" s="89"/>
      <c r="E6" s="89"/>
      <c r="F6" s="89"/>
      <c r="G6" s="89"/>
      <c r="H6" s="89"/>
      <c r="I6" s="89"/>
      <c r="J6" s="108"/>
      <c r="S6" s="86"/>
    </row>
    <row r="7" spans="1:10" ht="15">
      <c r="A7" s="10"/>
      <c r="B7" s="11"/>
      <c r="C7" s="107" t="str">
        <f>"-5% Adept is in a man-made dwelling without an earthen floor"</f>
        <v>-5% Adept is in a man-made dwelling without an earthen floor</v>
      </c>
      <c r="D7" s="89"/>
      <c r="E7" s="89"/>
      <c r="F7" s="89"/>
      <c r="G7" s="89"/>
      <c r="H7" s="89"/>
      <c r="I7" s="89"/>
      <c r="J7" s="108"/>
    </row>
    <row r="8" spans="1:10" ht="15.75" thickBot="1">
      <c r="A8" s="45"/>
      <c r="B8" s="6"/>
      <c r="C8" s="100" t="str">
        <f>"-20% Adept is in contact with earth, but beneath water"</f>
        <v>-20% Adept is in contact with earth, but beneath water</v>
      </c>
      <c r="D8" s="88"/>
      <c r="E8" s="88"/>
      <c r="F8" s="88"/>
      <c r="G8" s="88"/>
      <c r="H8" s="88"/>
      <c r="I8" s="88"/>
      <c r="J8" s="101"/>
    </row>
    <row r="9" spans="1:10" ht="15.75">
      <c r="A9" s="46" t="s">
        <v>74</v>
      </c>
      <c r="B9" s="47" t="s">
        <v>75</v>
      </c>
      <c r="C9" s="47" t="s">
        <v>76</v>
      </c>
      <c r="D9" s="48" t="s">
        <v>77</v>
      </c>
      <c r="E9" s="48" t="s">
        <v>80</v>
      </c>
      <c r="F9" s="49" t="s">
        <v>107</v>
      </c>
      <c r="G9" s="48" t="s">
        <v>108</v>
      </c>
      <c r="H9" s="48" t="s">
        <v>78</v>
      </c>
      <c r="I9" s="48" t="s">
        <v>84</v>
      </c>
      <c r="J9" s="50" t="s">
        <v>79</v>
      </c>
    </row>
    <row r="10" spans="1:12" ht="18">
      <c r="A10" s="27" t="s">
        <v>112</v>
      </c>
      <c r="B10" s="39" t="s">
        <v>149</v>
      </c>
      <c r="C10" s="39" t="s">
        <v>150</v>
      </c>
      <c r="D10" s="28">
        <v>0</v>
      </c>
      <c r="E10" s="28" t="s">
        <v>127</v>
      </c>
      <c r="F10" s="37" t="s">
        <v>96</v>
      </c>
      <c r="G10" s="28">
        <v>75</v>
      </c>
      <c r="H10" s="31">
        <f>+'Character Record'!$J$4</f>
        <v>0</v>
      </c>
      <c r="I10" s="31">
        <f>+IF(D10&lt;&gt;"",+H10+D10*5,"")</f>
        <v>0</v>
      </c>
      <c r="J10" s="29" t="s">
        <v>151</v>
      </c>
      <c r="L10" s="12" t="s">
        <v>40</v>
      </c>
    </row>
    <row r="11" spans="1:12" ht="18">
      <c r="A11" s="27" t="s">
        <v>114</v>
      </c>
      <c r="B11" s="39" t="s">
        <v>152</v>
      </c>
      <c r="C11" s="39" t="s">
        <v>153</v>
      </c>
      <c r="D11" s="28">
        <v>0</v>
      </c>
      <c r="E11" s="28" t="str">
        <f>10+10*D11&amp;"'"</f>
        <v>10'</v>
      </c>
      <c r="F11" s="37" t="str">
        <f>1+1*D11&amp;" hours"</f>
        <v>1 hours</v>
      </c>
      <c r="G11" s="28">
        <v>50</v>
      </c>
      <c r="H11" s="28">
        <v>45</v>
      </c>
      <c r="I11" s="31">
        <f>+IF(D11&lt;&gt;"",+H11+D11*3+'Character Record'!$N$2-15,"")</f>
        <v>30</v>
      </c>
      <c r="J11" s="29" t="s">
        <v>97</v>
      </c>
      <c r="L11" s="13" t="s">
        <v>46</v>
      </c>
    </row>
    <row r="12" spans="1:12" s="14" customFormat="1" ht="18">
      <c r="A12" s="27" t="s">
        <v>115</v>
      </c>
      <c r="B12" s="39" t="s">
        <v>154</v>
      </c>
      <c r="C12" s="39" t="s">
        <v>155</v>
      </c>
      <c r="D12" s="28">
        <v>0</v>
      </c>
      <c r="E12" s="28" t="str">
        <f>10+10*D12&amp;"'"</f>
        <v>10'</v>
      </c>
      <c r="F12" s="37" t="str">
        <f>1+1*D12&amp;" hours"</f>
        <v>1 hours</v>
      </c>
      <c r="G12" s="28">
        <v>50</v>
      </c>
      <c r="H12" s="28">
        <v>25</v>
      </c>
      <c r="I12" s="31">
        <f>+IF(D12&lt;&gt;"",+H12+D12*3+'Character Record'!$N$2-15,"")</f>
        <v>10</v>
      </c>
      <c r="J12" s="29" t="s">
        <v>97</v>
      </c>
      <c r="L12" s="3"/>
    </row>
    <row r="13" spans="1:16" s="14" customFormat="1" ht="18">
      <c r="A13" s="27" t="s">
        <v>116</v>
      </c>
      <c r="B13" s="39" t="s">
        <v>156</v>
      </c>
      <c r="C13" s="39" t="s">
        <v>157</v>
      </c>
      <c r="D13" s="28">
        <v>0</v>
      </c>
      <c r="E13" s="28" t="str">
        <f>10+10*D13&amp;"'"</f>
        <v>10'</v>
      </c>
      <c r="F13" s="37" t="s">
        <v>158</v>
      </c>
      <c r="G13" s="28">
        <v>100</v>
      </c>
      <c r="H13" s="28">
        <v>20</v>
      </c>
      <c r="I13" s="31">
        <f>+IF(D13&lt;&gt;"",+H13+D13*3+'Character Record'!$N$2-15,"")</f>
        <v>5</v>
      </c>
      <c r="J13" s="29" t="s">
        <v>95</v>
      </c>
      <c r="L13" s="3"/>
      <c r="P13" s="85"/>
    </row>
    <row r="14" spans="1:12" s="14" customFormat="1" ht="18">
      <c r="A14" s="27" t="s">
        <v>117</v>
      </c>
      <c r="B14" s="39" t="s">
        <v>159</v>
      </c>
      <c r="C14" s="39" t="s">
        <v>160</v>
      </c>
      <c r="D14" s="28">
        <v>0</v>
      </c>
      <c r="E14" s="28" t="str">
        <f>15+1*D14&amp;"'"</f>
        <v>15'</v>
      </c>
      <c r="F14" s="37" t="str">
        <f>1+1*D14&amp;" hours"</f>
        <v>1 hours</v>
      </c>
      <c r="G14" s="28">
        <v>50</v>
      </c>
      <c r="H14" s="28">
        <v>60</v>
      </c>
      <c r="I14" s="31">
        <f>+IF(D14&lt;&gt;"",+H14+D14*3+'Character Record'!$N$2-15,"")</f>
        <v>45</v>
      </c>
      <c r="J14" s="29" t="s">
        <v>97</v>
      </c>
      <c r="L14" s="3"/>
    </row>
    <row r="15" spans="1:12" s="14" customFormat="1" ht="18">
      <c r="A15" s="27" t="s">
        <v>118</v>
      </c>
      <c r="B15" s="39" t="s">
        <v>161</v>
      </c>
      <c r="C15" s="39" t="s">
        <v>162</v>
      </c>
      <c r="D15" s="28">
        <v>0</v>
      </c>
      <c r="E15" s="28" t="str">
        <f>1+1*D15&amp;"'"</f>
        <v>1'</v>
      </c>
      <c r="F15" s="37" t="str">
        <f>1+1*D15&amp;" hours"</f>
        <v>1 hours</v>
      </c>
      <c r="G15" s="28">
        <v>100</v>
      </c>
      <c r="H15" s="28">
        <v>50</v>
      </c>
      <c r="I15" s="31">
        <f>+IF(D15&lt;&gt;"",+H15+D15*3+'Character Record'!$N$2-15,"")</f>
        <v>35</v>
      </c>
      <c r="J15" s="29" t="s">
        <v>97</v>
      </c>
      <c r="L15" s="3"/>
    </row>
    <row r="16" spans="1:12" s="14" customFormat="1" ht="18">
      <c r="A16" s="27" t="s">
        <v>119</v>
      </c>
      <c r="B16" s="39" t="s">
        <v>163</v>
      </c>
      <c r="C16" s="39" t="str">
        <f>"Heals "&amp;3+D16&amp;" DP (5 minutes to cast)"</f>
        <v>Heals 3 DP (5 minutes to cast)</v>
      </c>
      <c r="D16" s="28">
        <v>0</v>
      </c>
      <c r="E16" s="28" t="s">
        <v>133</v>
      </c>
      <c r="F16" s="37" t="s">
        <v>96</v>
      </c>
      <c r="G16" s="28">
        <v>100</v>
      </c>
      <c r="H16" s="28">
        <v>35</v>
      </c>
      <c r="I16" s="31">
        <f>+IF(D16&lt;&gt;"",+H16+D16*3+'Character Record'!$N$2-15,"")</f>
        <v>20</v>
      </c>
      <c r="J16" s="29" t="s">
        <v>97</v>
      </c>
      <c r="L16" s="3"/>
    </row>
    <row r="17" spans="1:12" s="14" customFormat="1" ht="18">
      <c r="A17" s="27" t="s">
        <v>120</v>
      </c>
      <c r="B17" s="39" t="s">
        <v>164</v>
      </c>
      <c r="C17" s="39" t="str">
        <f>"+"&amp;10+D17&amp;"% to detect an ambush outdoors"</f>
        <v>+10% to detect an ambush outdoors</v>
      </c>
      <c r="D17" s="28">
        <v>0</v>
      </c>
      <c r="E17" s="28" t="str">
        <f>20+5*D17&amp;"'"</f>
        <v>20'</v>
      </c>
      <c r="F17" s="37" t="str">
        <f>1+1*D17&amp;" hours"</f>
        <v>1 hours</v>
      </c>
      <c r="G17" s="28">
        <v>75</v>
      </c>
      <c r="H17" s="28">
        <v>60</v>
      </c>
      <c r="I17" s="31">
        <f>+IF(D17&lt;&gt;"",+H17+D17*3+'Character Record'!$N$2-15,"")</f>
        <v>45</v>
      </c>
      <c r="J17" s="29" t="s">
        <v>97</v>
      </c>
      <c r="L17" s="3"/>
    </row>
    <row r="18" spans="1:12" s="14" customFormat="1" ht="18">
      <c r="A18" s="27" t="s">
        <v>121</v>
      </c>
      <c r="B18" s="39" t="s">
        <v>165</v>
      </c>
      <c r="C18" s="39" t="s">
        <v>166</v>
      </c>
      <c r="D18" s="28">
        <v>0</v>
      </c>
      <c r="E18" s="28" t="s">
        <v>133</v>
      </c>
      <c r="F18" s="37" t="s">
        <v>96</v>
      </c>
      <c r="G18" s="28">
        <v>75</v>
      </c>
      <c r="H18" s="28">
        <v>50</v>
      </c>
      <c r="I18" s="31">
        <f>+IF(D18&lt;&gt;"",+H18+D18*3+'Character Record'!$N$2-15,"")</f>
        <v>35</v>
      </c>
      <c r="J18" s="29" t="s">
        <v>97</v>
      </c>
      <c r="L18" s="3"/>
    </row>
    <row r="19" spans="1:15" s="14" customFormat="1" ht="18">
      <c r="A19" s="27" t="s">
        <v>122</v>
      </c>
      <c r="B19" s="39" t="s">
        <v>167</v>
      </c>
      <c r="C19" s="39" t="s">
        <v>168</v>
      </c>
      <c r="D19" s="28">
        <v>0</v>
      </c>
      <c r="E19" s="28" t="str">
        <f>10+10*D19&amp;"'"</f>
        <v>10'</v>
      </c>
      <c r="F19" s="37" t="s">
        <v>169</v>
      </c>
      <c r="G19" s="28">
        <v>125</v>
      </c>
      <c r="H19" s="31">
        <v>20</v>
      </c>
      <c r="I19" s="31">
        <f>+IF(D19&lt;&gt;"",+H19+D19*3+'Character Record'!$N$2-15,"")</f>
        <v>5</v>
      </c>
      <c r="J19" s="29" t="s">
        <v>131</v>
      </c>
      <c r="L19" s="3"/>
      <c r="O19" s="14" t="s">
        <v>87</v>
      </c>
    </row>
    <row r="20" spans="1:12" s="14" customFormat="1" ht="18">
      <c r="A20" s="27" t="s">
        <v>124</v>
      </c>
      <c r="B20" s="39" t="s">
        <v>170</v>
      </c>
      <c r="C20" s="39" t="str">
        <f>"+"&amp;2+2*D20&amp;"% to find herbs"</f>
        <v>+2% to find herbs</v>
      </c>
      <c r="D20" s="28">
        <v>0</v>
      </c>
      <c r="E20" s="28" t="s">
        <v>113</v>
      </c>
      <c r="F20" s="37" t="str">
        <f>1+1*D20&amp;" hours"</f>
        <v>1 hours</v>
      </c>
      <c r="G20" s="28">
        <v>75</v>
      </c>
      <c r="H20" s="28">
        <v>25</v>
      </c>
      <c r="I20" s="31">
        <f>+IF(D20&lt;&gt;"",+H20+D20*3+'Character Record'!$N$2-15,"")</f>
        <v>10</v>
      </c>
      <c r="J20" s="29" t="s">
        <v>97</v>
      </c>
      <c r="L20" s="3"/>
    </row>
    <row r="21" spans="1:12" s="14" customFormat="1" ht="18">
      <c r="A21" s="27" t="s">
        <v>171</v>
      </c>
      <c r="B21" s="39" t="s">
        <v>172</v>
      </c>
      <c r="C21" s="39" t="str">
        <f>"+"&amp;10+2*D21&amp;"% to tracking outdoors"</f>
        <v>+10% to tracking outdoors</v>
      </c>
      <c r="D21" s="28">
        <v>0</v>
      </c>
      <c r="E21" s="28" t="s">
        <v>113</v>
      </c>
      <c r="F21" s="37" t="str">
        <f>1+1*D21&amp;" days"</f>
        <v>1 days</v>
      </c>
      <c r="G21" s="28">
        <v>100</v>
      </c>
      <c r="H21" s="28">
        <v>15</v>
      </c>
      <c r="I21" s="31">
        <f>+IF(D21&lt;&gt;"",+H21+D21*3+'Character Record'!$N$2-15,"")</f>
        <v>0</v>
      </c>
      <c r="J21" s="29" t="s">
        <v>97</v>
      </c>
      <c r="L21" s="3"/>
    </row>
    <row r="22" spans="1:12" s="14" customFormat="1" ht="18">
      <c r="A22" s="27" t="s">
        <v>173</v>
      </c>
      <c r="B22" s="39" t="s">
        <v>123</v>
      </c>
      <c r="C22" s="39" t="str">
        <f>"+"&amp;30+(D22*3)&amp;"% MR vs. General Earth"</f>
        <v>+30% MR vs. General Earth</v>
      </c>
      <c r="D22" s="28">
        <v>0</v>
      </c>
      <c r="E22" s="28" t="str">
        <f>25+25*D22&amp;"'"</f>
        <v>25'</v>
      </c>
      <c r="F22" s="37" t="str">
        <f>"D+"&amp;5+D22&amp;" minutes"</f>
        <v>D+5 minutes</v>
      </c>
      <c r="G22" s="28">
        <v>100</v>
      </c>
      <c r="H22" s="28">
        <v>40</v>
      </c>
      <c r="I22" s="31">
        <f>+IF(D22&lt;&gt;"",+H22+D22*3+'Character Record'!$N$2-15,"")</f>
        <v>25</v>
      </c>
      <c r="J22" s="29" t="s">
        <v>95</v>
      </c>
      <c r="L22" s="3"/>
    </row>
    <row r="23" spans="1:12" s="14" customFormat="1" ht="18">
      <c r="A23" s="27" t="s">
        <v>174</v>
      </c>
      <c r="B23" s="39" t="s">
        <v>125</v>
      </c>
      <c r="C23" s="39" t="str">
        <f>"+"&amp;30+(D23*3)&amp;"% MR vs. Special Earth"</f>
        <v>+30% MR vs. Special Earth</v>
      </c>
      <c r="D23" s="28">
        <v>0</v>
      </c>
      <c r="E23" s="28" t="str">
        <f>25+25*D23&amp;"'"</f>
        <v>25'</v>
      </c>
      <c r="F23" s="37" t="str">
        <f>"D+"&amp;5+D23&amp;" minutes"</f>
        <v>D+5 minutes</v>
      </c>
      <c r="G23" s="28">
        <v>200</v>
      </c>
      <c r="H23" s="28">
        <v>40</v>
      </c>
      <c r="I23" s="31">
        <f>+IF(D23&lt;&gt;"",+H23+D23*3+'Character Record'!$N$2-15,"")</f>
        <v>25</v>
      </c>
      <c r="J23" s="29" t="s">
        <v>95</v>
      </c>
      <c r="L23" s="3"/>
    </row>
    <row r="24" spans="1:12" s="14" customFormat="1" ht="18">
      <c r="A24" s="27" t="s">
        <v>126</v>
      </c>
      <c r="B24" s="39" t="s">
        <v>175</v>
      </c>
      <c r="C24" s="39" t="str">
        <f>"Summons "&amp;1+D24&amp;" native animals"</f>
        <v>Summons 1 native animals</v>
      </c>
      <c r="D24" s="28">
        <v>0</v>
      </c>
      <c r="E24" s="28" t="s">
        <v>127</v>
      </c>
      <c r="F24" s="37" t="s">
        <v>96</v>
      </c>
      <c r="G24" s="28">
        <v>150</v>
      </c>
      <c r="H24" s="31">
        <f>+('Character Record'!$N$3)</f>
        <v>0</v>
      </c>
      <c r="I24" s="31">
        <f>+IF(D24&lt;&gt;"",+H24+D24*3,"")</f>
        <v>0</v>
      </c>
      <c r="J24" s="29" t="s">
        <v>97</v>
      </c>
      <c r="L24" s="3"/>
    </row>
    <row r="25" spans="1:12" s="14" customFormat="1" ht="18">
      <c r="A25" s="27" t="s">
        <v>128</v>
      </c>
      <c r="B25" s="39" t="s">
        <v>129</v>
      </c>
      <c r="C25" s="39" t="str">
        <f>"+"&amp;D25&amp;" MR and +"&amp;ROUNDDOWN(D25/5,0)&amp;" MA"</f>
        <v>+0 MR and +0 MA</v>
      </c>
      <c r="D25" s="28">
        <v>0</v>
      </c>
      <c r="E25" s="28" t="s">
        <v>113</v>
      </c>
      <c r="F25" s="37" t="str">
        <f>4+4*D25&amp;" hours"</f>
        <v>4 hours</v>
      </c>
      <c r="G25" s="28">
        <v>200</v>
      </c>
      <c r="H25" s="31">
        <f>+('Character Record'!$N$3)+('Character Record'!$P$3)</f>
        <v>0</v>
      </c>
      <c r="I25" s="31">
        <f>+IF(D25&lt;&gt;"",+H25+D25*3,"")</f>
        <v>0</v>
      </c>
      <c r="J25" s="29" t="s">
        <v>97</v>
      </c>
      <c r="L25" s="3"/>
    </row>
    <row r="26" spans="1:12" s="14" customFormat="1" ht="18">
      <c r="A26" s="27" t="s">
        <v>139</v>
      </c>
      <c r="B26" s="39" t="s">
        <v>176</v>
      </c>
      <c r="C26" s="39" t="str">
        <f>"Hurle stone hammer for D+"&amp;(D26-5)&amp;" DP"</f>
        <v>Hurle stone hammer for D+-5 DP</v>
      </c>
      <c r="D26" s="28">
        <v>0</v>
      </c>
      <c r="E26" s="28" t="str">
        <f>25+10*D26&amp;"'"</f>
        <v>25'</v>
      </c>
      <c r="F26" s="37" t="s">
        <v>96</v>
      </c>
      <c r="G26" s="28">
        <v>200</v>
      </c>
      <c r="H26" s="28">
        <v>40</v>
      </c>
      <c r="I26" s="31">
        <f>+IF(D26&lt;&gt;"",+H26+D26*3+'Character Record'!$N$2-15,"")</f>
        <v>25</v>
      </c>
      <c r="J26" s="29" t="s">
        <v>95</v>
      </c>
      <c r="L26" s="3"/>
    </row>
    <row r="27" spans="1:12" s="14" customFormat="1" ht="18">
      <c r="A27" s="27" t="s">
        <v>130</v>
      </c>
      <c r="B27" s="39" t="s">
        <v>177</v>
      </c>
      <c r="C27" s="39" t="str">
        <f>"Creates "&amp;1+(ROUNDUP(D27/2,0))&amp;" seven-foot stone hands"</f>
        <v>Creates 1 seven-foot stone hands</v>
      </c>
      <c r="D27" s="28">
        <v>0</v>
      </c>
      <c r="E27" s="28" t="str">
        <f>20+5*D27&amp;"'"</f>
        <v>20'</v>
      </c>
      <c r="F27" s="37" t="str">
        <f>1+1*D27&amp;" hours"</f>
        <v>1 hours</v>
      </c>
      <c r="G27" s="28">
        <v>150</v>
      </c>
      <c r="H27" s="28">
        <v>25</v>
      </c>
      <c r="I27" s="31">
        <f>+IF(D27&lt;&gt;"",+H27+D27*3+'Character Record'!$N$2-15,"")</f>
        <v>10</v>
      </c>
      <c r="J27" s="29" t="s">
        <v>95</v>
      </c>
      <c r="L27" s="3"/>
    </row>
    <row r="28" spans="1:12" s="14" customFormat="1" ht="18">
      <c r="A28" s="27" t="s">
        <v>140</v>
      </c>
      <c r="B28" s="39" t="s">
        <v>178</v>
      </c>
      <c r="C28" s="39" t="str">
        <f>"+"&amp;D28&amp;" to PS or EN"</f>
        <v>+0 to PS or EN</v>
      </c>
      <c r="D28" s="28">
        <v>0</v>
      </c>
      <c r="E28" s="28" t="s">
        <v>179</v>
      </c>
      <c r="F28" s="37" t="str">
        <f>1+1*D28&amp;" hours"</f>
        <v>1 hours</v>
      </c>
      <c r="G28" s="28">
        <v>200</v>
      </c>
      <c r="H28" s="28">
        <v>20</v>
      </c>
      <c r="I28" s="31">
        <f>+IF(D28&lt;&gt;"",+H28+D28*3+'Character Record'!$N$2-15,"")</f>
        <v>5</v>
      </c>
      <c r="J28" s="29" t="s">
        <v>95</v>
      </c>
      <c r="L28" s="3"/>
    </row>
    <row r="29" spans="1:12" s="14" customFormat="1" ht="18">
      <c r="A29" s="27" t="s">
        <v>141</v>
      </c>
      <c r="B29" s="39" t="s">
        <v>180</v>
      </c>
      <c r="C29" s="39" t="str">
        <f>"+"&amp;2+2*D29&amp;"% DB"</f>
        <v>+2% DB</v>
      </c>
      <c r="D29" s="28">
        <v>0</v>
      </c>
      <c r="E29" s="28" t="s">
        <v>179</v>
      </c>
      <c r="F29" s="37" t="str">
        <f>30+30*D29&amp;" minutes"</f>
        <v>30 minutes</v>
      </c>
      <c r="G29" s="28">
        <v>200</v>
      </c>
      <c r="H29" s="28">
        <v>15</v>
      </c>
      <c r="I29" s="31">
        <f>+IF(D29&lt;&gt;"",+H29+D29*3+'Character Record'!$N$2-15,"")</f>
        <v>0</v>
      </c>
      <c r="J29" s="29" t="s">
        <v>97</v>
      </c>
      <c r="L29" s="3"/>
    </row>
    <row r="30" spans="1:12" s="14" customFormat="1" ht="18">
      <c r="A30" s="27" t="s">
        <v>132</v>
      </c>
      <c r="B30" s="39" t="s">
        <v>181</v>
      </c>
      <c r="C30" s="51" t="str">
        <f>"+"&amp;1+D30&amp;"% SC, +"&amp;(ROUNDUP(D30/3,0))&amp;" DM, +"&amp;(ROUNDUP(D30/4,0))&amp;" injury (severing), +5% break"</f>
        <v>+1% SC, +0 DM, +0 injury (severing), +5% break</v>
      </c>
      <c r="D30" s="28">
        <v>0</v>
      </c>
      <c r="E30" s="28" t="str">
        <f>5+5*D30&amp;"'"</f>
        <v>5'</v>
      </c>
      <c r="F30" s="37" t="str">
        <f>20+10*D30&amp;" minutes"</f>
        <v>20 minutes</v>
      </c>
      <c r="G30" s="28">
        <v>250</v>
      </c>
      <c r="H30" s="28">
        <v>20</v>
      </c>
      <c r="I30" s="31">
        <f>+IF(D30&lt;&gt;"",+H30+D30*3+'Character Record'!$N$2-15,"")</f>
        <v>5</v>
      </c>
      <c r="J30" s="29" t="s">
        <v>97</v>
      </c>
      <c r="L30" s="3"/>
    </row>
    <row r="31" spans="1:12" s="14" customFormat="1" ht="18">
      <c r="A31" s="27" t="s">
        <v>142</v>
      </c>
      <c r="B31" s="39" t="s">
        <v>182</v>
      </c>
      <c r="C31" s="39" t="str">
        <f>"Creates "&amp;(ROUNDDOWN(D31/5,0))&amp;" gemstones of random value"</f>
        <v>Creates 0 gemstones of random value</v>
      </c>
      <c r="D31" s="28">
        <v>0</v>
      </c>
      <c r="E31" s="28" t="s">
        <v>179</v>
      </c>
      <c r="F31" s="37" t="str">
        <f>1+1*D31&amp;" days"</f>
        <v>1 days</v>
      </c>
      <c r="G31" s="28">
        <v>250</v>
      </c>
      <c r="H31" s="28">
        <v>10</v>
      </c>
      <c r="I31" s="31">
        <f>+IF(D31&lt;&gt;"",+H31+D31*3+'Character Record'!$N$2-15,"")</f>
        <v>-5</v>
      </c>
      <c r="J31" s="29" t="s">
        <v>97</v>
      </c>
      <c r="L31" s="3"/>
    </row>
    <row r="32" spans="1:12" s="14" customFormat="1" ht="18">
      <c r="A32" s="27" t="s">
        <v>134</v>
      </c>
      <c r="B32" s="39" t="s">
        <v>183</v>
      </c>
      <c r="C32" s="39"/>
      <c r="D32" s="28">
        <v>0</v>
      </c>
      <c r="E32" s="28" t="str">
        <f>10+10*D32&amp;"'"</f>
        <v>10'</v>
      </c>
      <c r="F32" s="37" t="str">
        <f>1+1*D32&amp;" days"</f>
        <v>1 days</v>
      </c>
      <c r="G32" s="28">
        <v>225</v>
      </c>
      <c r="H32" s="28">
        <v>15</v>
      </c>
      <c r="I32" s="31">
        <f>+IF(D32&lt;&gt;"",+H32+D32*3+'Character Record'!$N$2-15,"")</f>
        <v>0</v>
      </c>
      <c r="J32" s="29" t="s">
        <v>95</v>
      </c>
      <c r="L32" s="3"/>
    </row>
    <row r="33" spans="1:12" s="14" customFormat="1" ht="18">
      <c r="A33" s="27" t="s">
        <v>143</v>
      </c>
      <c r="B33" s="39" t="s">
        <v>184</v>
      </c>
      <c r="C33" s="39"/>
      <c r="D33" s="28">
        <v>0</v>
      </c>
      <c r="E33" s="28" t="str">
        <f>10+10*D33&amp;"'"</f>
        <v>10'</v>
      </c>
      <c r="F33" s="37" t="str">
        <f>1+1*D33&amp;" days"</f>
        <v>1 days</v>
      </c>
      <c r="G33" s="28">
        <v>225</v>
      </c>
      <c r="H33" s="28">
        <v>15</v>
      </c>
      <c r="I33" s="31">
        <f>+IF(D33&lt;&gt;"",+H33+D33*3+'Character Record'!$N$2-15,"")</f>
        <v>0</v>
      </c>
      <c r="J33" s="29" t="s">
        <v>97</v>
      </c>
      <c r="L33" s="3"/>
    </row>
    <row r="34" spans="1:12" s="14" customFormat="1" ht="18">
      <c r="A34" s="27" t="s">
        <v>144</v>
      </c>
      <c r="B34" s="39" t="s">
        <v>185</v>
      </c>
      <c r="C34" s="39"/>
      <c r="D34" s="28">
        <v>0</v>
      </c>
      <c r="E34" s="28" t="str">
        <f>10+10*D34&amp;"'"</f>
        <v>10'</v>
      </c>
      <c r="F34" s="37" t="s">
        <v>127</v>
      </c>
      <c r="G34" s="28">
        <v>250</v>
      </c>
      <c r="H34" s="31">
        <v>10</v>
      </c>
      <c r="I34" s="31">
        <f>+IF(D34&lt;&gt;"",+H34+D34*3+'Character Record'!$N$2-15,"")</f>
        <v>-5</v>
      </c>
      <c r="J34" s="29" t="s">
        <v>95</v>
      </c>
      <c r="L34" s="3"/>
    </row>
    <row r="35" spans="1:12" s="14" customFormat="1" ht="18">
      <c r="A35" s="27" t="s">
        <v>145</v>
      </c>
      <c r="B35" s="39" t="s">
        <v>186</v>
      </c>
      <c r="C35" s="39" t="str">
        <f>"Summons elemental with combined EN &amp; FT of "&amp;15+5*D35</f>
        <v>Summons elemental with combined EN &amp; FT of 15</v>
      </c>
      <c r="D35" s="28">
        <v>0</v>
      </c>
      <c r="E35" s="28" t="s">
        <v>187</v>
      </c>
      <c r="F35" s="37" t="s">
        <v>96</v>
      </c>
      <c r="G35" s="28">
        <v>225</v>
      </c>
      <c r="H35" s="28">
        <v>25</v>
      </c>
      <c r="I35" s="31">
        <f>+IF(D35&lt;&gt;"",+H35+D35*3+'Character Record'!$N$2-15,"")</f>
        <v>10</v>
      </c>
      <c r="J35" s="29" t="s">
        <v>97</v>
      </c>
      <c r="L35" s="3"/>
    </row>
    <row r="36" spans="1:12" s="14" customFormat="1" ht="18">
      <c r="A36" s="27" t="s">
        <v>146</v>
      </c>
      <c r="B36" s="39" t="s">
        <v>188</v>
      </c>
      <c r="C36" s="39" t="s">
        <v>189</v>
      </c>
      <c r="D36" s="28">
        <v>0</v>
      </c>
      <c r="E36" s="28" t="s">
        <v>187</v>
      </c>
      <c r="F36" s="37" t="s">
        <v>158</v>
      </c>
      <c r="G36" s="28">
        <v>225</v>
      </c>
      <c r="H36" s="28">
        <v>20</v>
      </c>
      <c r="I36" s="31">
        <f>+IF(D36&lt;&gt;"",+H36+D36*3+'Character Record'!$N$2-15,"")</f>
        <v>5</v>
      </c>
      <c r="J36" s="29" t="s">
        <v>97</v>
      </c>
      <c r="L36" s="3"/>
    </row>
    <row r="37" spans="1:12" s="14" customFormat="1" ht="18">
      <c r="A37" s="27" t="s">
        <v>135</v>
      </c>
      <c r="B37" s="39" t="s">
        <v>190</v>
      </c>
      <c r="C37" s="39"/>
      <c r="D37" s="28">
        <v>0</v>
      </c>
      <c r="E37" s="28" t="str">
        <f>30+10*D37&amp;"'"</f>
        <v>30'</v>
      </c>
      <c r="F37" s="37" t="s">
        <v>96</v>
      </c>
      <c r="G37" s="28">
        <v>650</v>
      </c>
      <c r="H37" s="28">
        <v>2</v>
      </c>
      <c r="I37" s="31">
        <f>+IF(D37&lt;&gt;"",+H37+D37*3+'Character Record'!$N$2-15,"")</f>
        <v>-13</v>
      </c>
      <c r="J37" s="29" t="s">
        <v>131</v>
      </c>
      <c r="L37" s="3"/>
    </row>
    <row r="38" spans="1:12" s="14" customFormat="1" ht="18">
      <c r="A38" s="27" t="s">
        <v>136</v>
      </c>
      <c r="B38" s="39" t="s">
        <v>191</v>
      </c>
      <c r="C38" s="39"/>
      <c r="D38" s="28">
        <v>0</v>
      </c>
      <c r="E38" s="28" t="str">
        <f>20+10*D38&amp;"'"</f>
        <v>20'</v>
      </c>
      <c r="F38" s="37" t="str">
        <f>10+10*D38&amp;" minutes"</f>
        <v>10 minutes</v>
      </c>
      <c r="G38" s="28">
        <v>150</v>
      </c>
      <c r="H38" s="31">
        <v>10</v>
      </c>
      <c r="I38" s="31">
        <f>+IF(D38&lt;&gt;"",+H38+D38*3+'Character Record'!$N$2-15,"")</f>
        <v>-5</v>
      </c>
      <c r="J38" s="29" t="s">
        <v>97</v>
      </c>
      <c r="L38" s="3"/>
    </row>
    <row r="39" spans="1:12" s="14" customFormat="1" ht="18">
      <c r="A39" s="27" t="s">
        <v>147</v>
      </c>
      <c r="B39" s="39" t="s">
        <v>192</v>
      </c>
      <c r="C39" s="39"/>
      <c r="D39" s="28">
        <v>0</v>
      </c>
      <c r="E39" s="28" t="str">
        <f>20+10*D39&amp;"'"</f>
        <v>20'</v>
      </c>
      <c r="F39" s="37" t="str">
        <f>10+10*D39&amp;" minutes"</f>
        <v>10 minutes</v>
      </c>
      <c r="G39" s="28">
        <v>250</v>
      </c>
      <c r="H39" s="31">
        <v>5</v>
      </c>
      <c r="I39" s="31">
        <f>+IF(D39&lt;&gt;"",+H39+D39*3+'Character Record'!$N$2-15,"")</f>
        <v>-10</v>
      </c>
      <c r="J39" s="29" t="s">
        <v>97</v>
      </c>
      <c r="L39" s="3"/>
    </row>
    <row r="40" spans="1:12" s="14" customFormat="1" ht="18">
      <c r="A40" s="27" t="s">
        <v>193</v>
      </c>
      <c r="B40" s="39" t="s">
        <v>194</v>
      </c>
      <c r="C40" s="39"/>
      <c r="D40" s="28">
        <v>0</v>
      </c>
      <c r="E40" s="28" t="str">
        <f>5+1*D40&amp;"'"</f>
        <v>5'</v>
      </c>
      <c r="F40" s="37" t="str">
        <f>30+30*D40&amp;" seconds"</f>
        <v>30 seconds</v>
      </c>
      <c r="G40" s="28">
        <v>200</v>
      </c>
      <c r="H40" s="28">
        <v>10</v>
      </c>
      <c r="I40" s="31">
        <f>+IF(D40&lt;&gt;"",+H40+D40*3+'Character Record'!$N$2-15,"")</f>
        <v>-5</v>
      </c>
      <c r="J40" s="29" t="s">
        <v>97</v>
      </c>
      <c r="L40" s="3"/>
    </row>
    <row r="41" spans="1:12" s="14" customFormat="1" ht="18">
      <c r="A41" s="27" t="s">
        <v>195</v>
      </c>
      <c r="B41" s="39" t="s">
        <v>196</v>
      </c>
      <c r="C41" s="39"/>
      <c r="D41" s="28">
        <v>0</v>
      </c>
      <c r="E41" s="28" t="s">
        <v>179</v>
      </c>
      <c r="F41" s="37" t="str">
        <f>30+5*D41&amp;" seconds"</f>
        <v>30 seconds</v>
      </c>
      <c r="G41" s="28">
        <v>250</v>
      </c>
      <c r="H41" s="31">
        <v>20</v>
      </c>
      <c r="I41" s="31">
        <f>+IF(D41&lt;&gt;"",+H41+D41*3+'Character Record'!$N$2-15,"")</f>
        <v>5</v>
      </c>
      <c r="J41" s="29" t="s">
        <v>97</v>
      </c>
      <c r="L41" s="3"/>
    </row>
    <row r="42" spans="1:12" s="14" customFormat="1" ht="18">
      <c r="A42" s="27" t="s">
        <v>197</v>
      </c>
      <c r="B42" s="39" t="s">
        <v>198</v>
      </c>
      <c r="C42" s="39"/>
      <c r="D42" s="28">
        <v>0</v>
      </c>
      <c r="E42" s="28" t="str">
        <f>20+5*D42&amp;"'"</f>
        <v>20'</v>
      </c>
      <c r="F42" s="37" t="str">
        <f>10+10*D42&amp;" seconds"</f>
        <v>10 seconds</v>
      </c>
      <c r="G42" s="28">
        <v>300</v>
      </c>
      <c r="H42" s="31">
        <v>7</v>
      </c>
      <c r="I42" s="31">
        <f>+IF(D42&lt;&gt;"",+H42+D42*3+'Character Record'!$N$2-15,"")</f>
        <v>-8</v>
      </c>
      <c r="J42" s="29" t="s">
        <v>95</v>
      </c>
      <c r="L42" s="3"/>
    </row>
    <row r="43" spans="1:12" s="14" customFormat="1" ht="18">
      <c r="A43" s="27" t="s">
        <v>199</v>
      </c>
      <c r="B43" s="39" t="s">
        <v>200</v>
      </c>
      <c r="C43" s="39"/>
      <c r="D43" s="28">
        <v>0</v>
      </c>
      <c r="E43" s="28" t="str">
        <f>30+10*D43&amp;"'"</f>
        <v>30'</v>
      </c>
      <c r="F43" s="37" t="s">
        <v>96</v>
      </c>
      <c r="G43" s="28">
        <v>300</v>
      </c>
      <c r="H43" s="28">
        <v>20</v>
      </c>
      <c r="I43" s="31">
        <f>+IF(D43&lt;&gt;"",+H43+D43*3+'Character Record'!$N$2-15,"")</f>
        <v>5</v>
      </c>
      <c r="J43" s="29" t="s">
        <v>97</v>
      </c>
      <c r="L43" s="3"/>
    </row>
    <row r="44" spans="1:12" s="14" customFormat="1" ht="18">
      <c r="A44" s="27" t="s">
        <v>201</v>
      </c>
      <c r="B44" s="39" t="s">
        <v>202</v>
      </c>
      <c r="C44" s="39"/>
      <c r="D44" s="28">
        <v>0</v>
      </c>
      <c r="E44" s="28" t="str">
        <f>10+10*D44&amp;"'"</f>
        <v>10'</v>
      </c>
      <c r="F44" s="37" t="str">
        <f>3+1*D44&amp;" hours"</f>
        <v>3 hours</v>
      </c>
      <c r="G44" s="28">
        <v>400</v>
      </c>
      <c r="H44" s="31">
        <v>15</v>
      </c>
      <c r="I44" s="31">
        <f>+IF(D44&lt;&gt;"",+H44+D44*3+'Character Record'!$N$2-15,"")</f>
        <v>0</v>
      </c>
      <c r="J44" s="29" t="s">
        <v>97</v>
      </c>
      <c r="L44" s="3"/>
    </row>
    <row r="45" spans="1:12" s="14" customFormat="1" ht="18">
      <c r="A45" s="27" t="s">
        <v>148</v>
      </c>
      <c r="B45" s="39" t="s">
        <v>203</v>
      </c>
      <c r="C45" s="39"/>
      <c r="D45" s="28">
        <v>0</v>
      </c>
      <c r="E45" s="28" t="str">
        <f>10+10*D45&amp;"'"</f>
        <v>10'</v>
      </c>
      <c r="F45" s="37" t="s">
        <v>127</v>
      </c>
      <c r="G45" s="28">
        <v>500</v>
      </c>
      <c r="H45" s="31">
        <v>10</v>
      </c>
      <c r="I45" s="31">
        <f>+IF(D45&lt;&gt;"",+H45+D45*3,"")</f>
        <v>10</v>
      </c>
      <c r="J45" s="29" t="s">
        <v>97</v>
      </c>
      <c r="L45" s="3"/>
    </row>
    <row r="46" spans="1:12" s="14" customFormat="1" ht="18">
      <c r="A46" s="27"/>
      <c r="B46" s="39"/>
      <c r="C46" s="39"/>
      <c r="D46" s="28"/>
      <c r="E46" s="28"/>
      <c r="F46" s="37"/>
      <c r="G46" s="28"/>
      <c r="H46" s="28"/>
      <c r="I46" s="31">
        <f>+IF(D46&lt;&gt;"",+H46+D46*3+'Character Record'!$N$2-15,"")</f>
      </c>
      <c r="J46" s="29"/>
      <c r="L46" s="3"/>
    </row>
    <row r="47" spans="1:12" s="14" customFormat="1" ht="18">
      <c r="A47" s="27"/>
      <c r="B47" s="39"/>
      <c r="C47" s="39"/>
      <c r="D47" s="28"/>
      <c r="E47" s="28"/>
      <c r="F47" s="37"/>
      <c r="G47" s="28"/>
      <c r="H47" s="28"/>
      <c r="I47" s="31">
        <f>+IF(D47&lt;&gt;"",+H47+D47*3+'Character Record'!$N$2-15,"")</f>
      </c>
      <c r="J47" s="29"/>
      <c r="L47" s="3"/>
    </row>
    <row r="48" spans="1:12" s="14" customFormat="1" ht="18.75" thickBot="1">
      <c r="A48" s="35"/>
      <c r="B48" s="40"/>
      <c r="C48" s="40"/>
      <c r="D48" s="36"/>
      <c r="E48" s="36"/>
      <c r="F48" s="38"/>
      <c r="G48" s="36"/>
      <c r="H48" s="36"/>
      <c r="I48" s="31">
        <f>+IF(D48&lt;&gt;"",+H48+D48*3+'Character Record'!$N$2-15,"")</f>
      </c>
      <c r="J48" s="33"/>
      <c r="L48" s="3"/>
    </row>
    <row r="49" spans="1:12" s="14" customFormat="1" ht="18">
      <c r="A49" s="15"/>
      <c r="B49" s="16"/>
      <c r="C49" s="16"/>
      <c r="D49" s="15"/>
      <c r="E49" s="15"/>
      <c r="F49" s="17" t="s">
        <v>81</v>
      </c>
      <c r="G49" s="15"/>
      <c r="H49" s="15"/>
      <c r="I49" s="15"/>
      <c r="J49" s="15"/>
      <c r="L49" s="77">
        <f>SUM(L12:L48)</f>
        <v>0</v>
      </c>
    </row>
    <row r="50" spans="1:12" s="14" customFormat="1" ht="18">
      <c r="A50" s="14" t="s">
        <v>85</v>
      </c>
      <c r="F50" s="17" t="s">
        <v>60</v>
      </c>
      <c r="L50" s="78">
        <f>+'Character Record'!Q53</f>
        <v>0</v>
      </c>
    </row>
    <row r="51" spans="1:12" s="14" customFormat="1" ht="18">
      <c r="A51" s="14" t="s">
        <v>86</v>
      </c>
      <c r="F51" s="17" t="s">
        <v>82</v>
      </c>
      <c r="L51" s="79">
        <f>+L49*L50</f>
        <v>0</v>
      </c>
    </row>
    <row r="52" ht="18">
      <c r="L52" s="80"/>
    </row>
    <row r="53" spans="6:12" ht="18">
      <c r="F53" s="18" t="s">
        <v>83</v>
      </c>
      <c r="L53" s="80">
        <f>+'Character Record'!U53</f>
        <v>0</v>
      </c>
    </row>
    <row r="54" spans="6:12" ht="18.75" thickBot="1">
      <c r="F54" s="18" t="s">
        <v>65</v>
      </c>
      <c r="L54" s="81">
        <f>+L51+L53</f>
        <v>0</v>
      </c>
    </row>
    <row r="55" ht="15.75" thickTop="1"/>
  </sheetData>
  <mergeCells count="5">
    <mergeCell ref="C8:J8"/>
    <mergeCell ref="C3:J3"/>
    <mergeCell ref="C5:J5"/>
    <mergeCell ref="C6:J6"/>
    <mergeCell ref="C7:J7"/>
  </mergeCells>
  <printOptions/>
  <pageMargins left="0.5" right="0.3" top="0.3" bottom="0.3" header="0.5" footer="0.5"/>
  <pageSetup fitToHeight="1" fitToWidth="1" horizontalDpi="300" verticalDpi="3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="75" zoomScaleNormal="75" workbookViewId="0" topLeftCell="A27">
      <selection activeCell="F57" sqref="F57"/>
    </sheetView>
  </sheetViews>
  <sheetFormatPr defaultColWidth="8.88671875" defaultRowHeight="15"/>
  <cols>
    <col min="1" max="1" width="8.4453125" style="0" customWidth="1"/>
    <col min="2" max="2" width="15.6640625" style="0" customWidth="1"/>
    <col min="3" max="3" width="21.4453125" style="0" customWidth="1"/>
    <col min="4" max="4" width="4.77734375" style="0" customWidth="1"/>
    <col min="5" max="5" width="7.4453125" style="0" customWidth="1"/>
    <col min="6" max="6" width="9.77734375" style="0" customWidth="1"/>
    <col min="7" max="7" width="5.5546875" style="0" customWidth="1"/>
    <col min="8" max="8" width="7.10546875" style="0" customWidth="1"/>
    <col min="9" max="9" width="8.5546875" style="0" customWidth="1"/>
    <col min="10" max="10" width="5.4453125" style="0" customWidth="1"/>
    <col min="11" max="11" width="1.77734375" style="0" customWidth="1"/>
    <col min="12" max="12" width="20.5546875" style="0" customWidth="1"/>
  </cols>
  <sheetData>
    <row r="1" spans="1:10" ht="30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.75">
      <c r="A2" s="8" t="s">
        <v>205</v>
      </c>
      <c r="B2" s="9"/>
      <c r="C2" s="9"/>
      <c r="D2" s="1"/>
      <c r="E2" s="109" t="s">
        <v>10</v>
      </c>
      <c r="F2" s="109"/>
      <c r="G2" s="109"/>
      <c r="H2" s="110">
        <f>'Character Record'!$B$4</f>
        <v>0</v>
      </c>
      <c r="I2" s="110"/>
      <c r="J2" s="111"/>
    </row>
    <row r="3" spans="1:10" ht="16.5" thickBot="1">
      <c r="A3" s="59"/>
      <c r="B3" s="60"/>
      <c r="C3" s="61"/>
      <c r="D3" s="62"/>
      <c r="E3" s="61"/>
      <c r="F3" s="63"/>
      <c r="G3" s="62"/>
      <c r="H3" s="61"/>
      <c r="I3" s="61"/>
      <c r="J3" s="64"/>
    </row>
    <row r="4" spans="1:10" ht="15.75">
      <c r="A4" s="112"/>
      <c r="B4" s="113"/>
      <c r="C4" s="113"/>
      <c r="D4" s="113"/>
      <c r="E4" s="113"/>
      <c r="F4" s="113"/>
      <c r="G4" s="113"/>
      <c r="H4" s="113"/>
      <c r="I4" s="113"/>
      <c r="J4" s="114"/>
    </row>
    <row r="5" spans="1:10" ht="15.75">
      <c r="A5" s="115" t="s">
        <v>207</v>
      </c>
      <c r="B5" s="98"/>
      <c r="C5" s="98"/>
      <c r="D5" s="98"/>
      <c r="E5" s="98"/>
      <c r="F5" s="98"/>
      <c r="G5" s="98"/>
      <c r="H5" s="98"/>
      <c r="I5" s="98"/>
      <c r="J5" s="99"/>
    </row>
    <row r="6" spans="1:10" ht="15.75">
      <c r="A6" s="65" t="s">
        <v>208</v>
      </c>
      <c r="B6" s="47" t="s">
        <v>75</v>
      </c>
      <c r="C6" s="47" t="s">
        <v>76</v>
      </c>
      <c r="D6" s="48" t="s">
        <v>77</v>
      </c>
      <c r="E6" s="48" t="s">
        <v>80</v>
      </c>
      <c r="F6" s="48" t="s">
        <v>107</v>
      </c>
      <c r="G6" s="48" t="s">
        <v>37</v>
      </c>
      <c r="H6" s="48" t="s">
        <v>79</v>
      </c>
      <c r="I6" s="48" t="s">
        <v>209</v>
      </c>
      <c r="J6" s="50" t="s">
        <v>210</v>
      </c>
    </row>
    <row r="7" spans="1:10" ht="15">
      <c r="A7" s="66"/>
      <c r="B7" s="39"/>
      <c r="C7" s="39"/>
      <c r="D7" s="28"/>
      <c r="E7" s="28"/>
      <c r="F7" s="37"/>
      <c r="G7" s="28"/>
      <c r="H7" s="28"/>
      <c r="I7" s="31"/>
      <c r="J7" s="29"/>
    </row>
    <row r="8" spans="1:10" ht="15">
      <c r="A8" s="66"/>
      <c r="B8" s="39"/>
      <c r="C8" s="39"/>
      <c r="D8" s="28"/>
      <c r="E8" s="28"/>
      <c r="F8" s="37"/>
      <c r="G8" s="28"/>
      <c r="H8" s="28"/>
      <c r="I8" s="31"/>
      <c r="J8" s="29"/>
    </row>
    <row r="9" spans="1:10" ht="15">
      <c r="A9" s="66"/>
      <c r="B9" s="39"/>
      <c r="C9" s="39"/>
      <c r="D9" s="28"/>
      <c r="E9" s="28"/>
      <c r="F9" s="37"/>
      <c r="G9" s="28"/>
      <c r="H9" s="28"/>
      <c r="I9" s="31"/>
      <c r="J9" s="29"/>
    </row>
    <row r="10" spans="1:12" ht="18">
      <c r="A10" s="66"/>
      <c r="B10" s="39"/>
      <c r="C10" s="39"/>
      <c r="D10" s="28"/>
      <c r="E10" s="28"/>
      <c r="F10" s="37"/>
      <c r="G10" s="28"/>
      <c r="H10" s="28"/>
      <c r="I10" s="31"/>
      <c r="J10" s="29"/>
      <c r="L10" s="12" t="s">
        <v>40</v>
      </c>
    </row>
    <row r="11" spans="1:12" ht="18">
      <c r="A11" s="66"/>
      <c r="B11" s="39"/>
      <c r="C11" s="39"/>
      <c r="D11" s="28"/>
      <c r="E11" s="28"/>
      <c r="F11" s="37"/>
      <c r="G11" s="28"/>
      <c r="H11" s="28"/>
      <c r="I11" s="31"/>
      <c r="J11" s="29"/>
      <c r="L11" s="13" t="s">
        <v>46</v>
      </c>
    </row>
    <row r="12" spans="1:12" s="14" customFormat="1" ht="18">
      <c r="A12" s="66"/>
      <c r="B12" s="39"/>
      <c r="C12" s="39"/>
      <c r="D12" s="28"/>
      <c r="E12" s="28"/>
      <c r="F12" s="37"/>
      <c r="G12" s="28"/>
      <c r="H12" s="28"/>
      <c r="I12" s="31"/>
      <c r="J12" s="29"/>
      <c r="L12" s="3"/>
    </row>
    <row r="13" spans="1:12" s="14" customFormat="1" ht="18">
      <c r="A13" s="66"/>
      <c r="B13" s="39"/>
      <c r="C13" s="39"/>
      <c r="D13" s="28"/>
      <c r="E13" s="28"/>
      <c r="F13" s="37"/>
      <c r="G13" s="28"/>
      <c r="H13" s="28"/>
      <c r="I13" s="31"/>
      <c r="J13" s="29"/>
      <c r="L13" s="3"/>
    </row>
    <row r="14" spans="1:12" s="14" customFormat="1" ht="18">
      <c r="A14" s="66"/>
      <c r="B14" s="39"/>
      <c r="C14" s="39"/>
      <c r="D14" s="28"/>
      <c r="E14" s="28"/>
      <c r="F14" s="37"/>
      <c r="G14" s="28"/>
      <c r="H14" s="28"/>
      <c r="I14" s="31"/>
      <c r="J14" s="29"/>
      <c r="L14" s="3"/>
    </row>
    <row r="15" spans="1:12" s="14" customFormat="1" ht="18">
      <c r="A15" s="66"/>
      <c r="B15" s="39"/>
      <c r="C15" s="39"/>
      <c r="D15" s="28"/>
      <c r="E15" s="28"/>
      <c r="F15" s="37"/>
      <c r="G15" s="28"/>
      <c r="H15" s="28"/>
      <c r="I15" s="31"/>
      <c r="J15" s="29"/>
      <c r="L15" s="3"/>
    </row>
    <row r="16" spans="1:12" s="14" customFormat="1" ht="18">
      <c r="A16" s="66"/>
      <c r="B16" s="39"/>
      <c r="C16" s="39"/>
      <c r="D16" s="28"/>
      <c r="E16" s="28"/>
      <c r="F16" s="37"/>
      <c r="G16" s="28"/>
      <c r="H16" s="28"/>
      <c r="I16" s="31"/>
      <c r="J16" s="29"/>
      <c r="L16" s="3"/>
    </row>
    <row r="17" spans="1:12" s="14" customFormat="1" ht="18">
      <c r="A17" s="66"/>
      <c r="B17" s="39"/>
      <c r="C17" s="39"/>
      <c r="D17" s="28"/>
      <c r="E17" s="28"/>
      <c r="F17" s="37"/>
      <c r="G17" s="28"/>
      <c r="H17" s="28"/>
      <c r="I17" s="31"/>
      <c r="J17" s="29"/>
      <c r="L17" s="3"/>
    </row>
    <row r="18" spans="1:12" s="14" customFormat="1" ht="18">
      <c r="A18" s="66"/>
      <c r="B18" s="39"/>
      <c r="C18" s="39"/>
      <c r="D18" s="28"/>
      <c r="E18" s="28"/>
      <c r="F18" s="37"/>
      <c r="G18" s="28"/>
      <c r="H18" s="28"/>
      <c r="I18" s="31"/>
      <c r="J18" s="29"/>
      <c r="L18" s="3"/>
    </row>
    <row r="19" spans="1:15" s="14" customFormat="1" ht="18">
      <c r="A19" s="66"/>
      <c r="B19" s="39"/>
      <c r="C19" s="39"/>
      <c r="D19" s="28"/>
      <c r="E19" s="28"/>
      <c r="F19" s="37"/>
      <c r="G19" s="28"/>
      <c r="H19" s="28"/>
      <c r="I19" s="31"/>
      <c r="J19" s="29"/>
      <c r="L19" s="3"/>
      <c r="O19" s="14" t="s">
        <v>87</v>
      </c>
    </row>
    <row r="20" spans="1:12" s="14" customFormat="1" ht="18">
      <c r="A20" s="66"/>
      <c r="B20" s="39"/>
      <c r="C20" s="39"/>
      <c r="D20" s="28"/>
      <c r="E20" s="28"/>
      <c r="F20" s="37"/>
      <c r="G20" s="28"/>
      <c r="H20" s="28"/>
      <c r="I20" s="31"/>
      <c r="J20" s="29"/>
      <c r="L20" s="3"/>
    </row>
    <row r="21" spans="1:12" s="14" customFormat="1" ht="18">
      <c r="A21" s="66"/>
      <c r="B21" s="39"/>
      <c r="C21" s="39"/>
      <c r="D21" s="28"/>
      <c r="E21" s="28"/>
      <c r="F21" s="37"/>
      <c r="G21" s="28"/>
      <c r="H21" s="28"/>
      <c r="I21" s="31"/>
      <c r="J21" s="29"/>
      <c r="L21" s="3"/>
    </row>
    <row r="22" spans="1:12" s="14" customFormat="1" ht="18">
      <c r="A22" s="66"/>
      <c r="B22" s="39"/>
      <c r="C22" s="39"/>
      <c r="D22" s="28"/>
      <c r="E22" s="28"/>
      <c r="F22" s="37"/>
      <c r="G22" s="28"/>
      <c r="H22" s="28"/>
      <c r="I22" s="31"/>
      <c r="J22" s="29"/>
      <c r="L22" s="3"/>
    </row>
    <row r="23" spans="1:12" s="14" customFormat="1" ht="18">
      <c r="A23" s="66"/>
      <c r="B23" s="39"/>
      <c r="C23" s="39"/>
      <c r="D23" s="28"/>
      <c r="E23" s="28"/>
      <c r="F23" s="37"/>
      <c r="G23" s="28"/>
      <c r="H23" s="31"/>
      <c r="I23" s="31"/>
      <c r="J23" s="29"/>
      <c r="L23" s="3"/>
    </row>
    <row r="24" spans="1:12" s="14" customFormat="1" ht="18">
      <c r="A24" s="66"/>
      <c r="B24" s="39"/>
      <c r="C24" s="39"/>
      <c r="D24" s="28"/>
      <c r="E24" s="28"/>
      <c r="F24" s="37"/>
      <c r="G24" s="28"/>
      <c r="H24" s="28"/>
      <c r="I24" s="31"/>
      <c r="J24" s="29"/>
      <c r="L24" s="3"/>
    </row>
    <row r="25" spans="1:12" s="14" customFormat="1" ht="18">
      <c r="A25" s="66"/>
      <c r="B25" s="39"/>
      <c r="C25" s="39"/>
      <c r="D25" s="28"/>
      <c r="E25" s="28"/>
      <c r="F25" s="37"/>
      <c r="G25" s="28"/>
      <c r="H25" s="28"/>
      <c r="I25" s="31"/>
      <c r="J25" s="29"/>
      <c r="L25" s="3"/>
    </row>
    <row r="26" spans="1:12" s="14" customFormat="1" ht="18">
      <c r="A26" s="66"/>
      <c r="B26" s="39"/>
      <c r="C26" s="39"/>
      <c r="D26" s="28"/>
      <c r="E26" s="28"/>
      <c r="F26" s="37"/>
      <c r="G26" s="28"/>
      <c r="H26" s="28"/>
      <c r="I26" s="31"/>
      <c r="J26" s="29"/>
      <c r="L26" s="3"/>
    </row>
    <row r="27" spans="1:12" s="14" customFormat="1" ht="18">
      <c r="A27" s="66"/>
      <c r="B27" s="67"/>
      <c r="C27" s="67"/>
      <c r="D27" s="28"/>
      <c r="E27" s="28"/>
      <c r="F27" s="28"/>
      <c r="G27" s="28"/>
      <c r="H27" s="28"/>
      <c r="I27" s="31"/>
      <c r="J27" s="29"/>
      <c r="L27" s="3"/>
    </row>
    <row r="28" spans="1:12" s="14" customFormat="1" ht="18">
      <c r="A28" s="66"/>
      <c r="B28" s="39"/>
      <c r="C28" s="39"/>
      <c r="D28" s="28"/>
      <c r="E28" s="28"/>
      <c r="F28" s="37"/>
      <c r="G28" s="28"/>
      <c r="H28" s="28"/>
      <c r="I28" s="68"/>
      <c r="J28" s="29"/>
      <c r="L28" s="3"/>
    </row>
    <row r="29" spans="1:12" s="14" customFormat="1" ht="18">
      <c r="A29" s="66"/>
      <c r="B29" s="39"/>
      <c r="C29" s="39"/>
      <c r="D29" s="28"/>
      <c r="E29" s="28"/>
      <c r="F29" s="37"/>
      <c r="G29" s="28"/>
      <c r="H29" s="28"/>
      <c r="I29" s="31"/>
      <c r="J29" s="29"/>
      <c r="L29" s="3"/>
    </row>
    <row r="30" spans="1:12" s="14" customFormat="1" ht="18.75" thickBot="1">
      <c r="A30" s="69"/>
      <c r="B30" s="40"/>
      <c r="C30" s="40"/>
      <c r="D30" s="36"/>
      <c r="E30" s="36"/>
      <c r="F30" s="38"/>
      <c r="G30" s="36"/>
      <c r="H30" s="36"/>
      <c r="I30" s="41"/>
      <c r="J30" s="33"/>
      <c r="L30" s="3"/>
    </row>
    <row r="31" spans="1:12" s="14" customFormat="1" ht="18">
      <c r="A31" s="116"/>
      <c r="B31" s="96"/>
      <c r="C31" s="96"/>
      <c r="D31" s="96"/>
      <c r="E31" s="96"/>
      <c r="F31" s="96"/>
      <c r="G31" s="96"/>
      <c r="H31" s="96"/>
      <c r="I31" s="96"/>
      <c r="J31" s="97"/>
      <c r="L31" s="3"/>
    </row>
    <row r="32" spans="1:12" s="14" customFormat="1" ht="18">
      <c r="A32" s="117" t="s">
        <v>211</v>
      </c>
      <c r="B32" s="118"/>
      <c r="C32" s="118"/>
      <c r="D32" s="118"/>
      <c r="E32" s="118"/>
      <c r="F32" s="118"/>
      <c r="G32" s="118"/>
      <c r="H32" s="118"/>
      <c r="I32" s="118"/>
      <c r="J32" s="119"/>
      <c r="L32" s="3"/>
    </row>
    <row r="33" spans="1:12" s="14" customFormat="1" ht="18">
      <c r="A33" s="70" t="s">
        <v>212</v>
      </c>
      <c r="B33" s="120"/>
      <c r="C33" s="121"/>
      <c r="D33" s="71" t="s">
        <v>212</v>
      </c>
      <c r="E33" s="72"/>
      <c r="F33" s="122"/>
      <c r="G33" s="123"/>
      <c r="H33" s="123"/>
      <c r="I33" s="123"/>
      <c r="J33" s="124"/>
      <c r="L33" s="3"/>
    </row>
    <row r="34" spans="1:12" s="14" customFormat="1" ht="18">
      <c r="A34" s="70" t="s">
        <v>213</v>
      </c>
      <c r="B34" s="122"/>
      <c r="C34" s="125"/>
      <c r="D34" s="126" t="s">
        <v>213</v>
      </c>
      <c r="E34" s="127"/>
      <c r="F34" s="122"/>
      <c r="G34" s="123"/>
      <c r="H34" s="123"/>
      <c r="I34" s="123"/>
      <c r="J34" s="124"/>
      <c r="L34" s="3"/>
    </row>
    <row r="35" spans="1:12" s="14" customFormat="1" ht="18">
      <c r="A35" s="128"/>
      <c r="B35" s="129"/>
      <c r="C35" s="130"/>
      <c r="D35" s="131"/>
      <c r="E35" s="123"/>
      <c r="F35" s="123"/>
      <c r="G35" s="123"/>
      <c r="H35" s="123"/>
      <c r="I35" s="123"/>
      <c r="J35" s="124"/>
      <c r="L35" s="3"/>
    </row>
    <row r="36" spans="1:12" s="14" customFormat="1" ht="18">
      <c r="A36" s="132"/>
      <c r="B36" s="133"/>
      <c r="C36" s="134"/>
      <c r="D36" s="135"/>
      <c r="E36" s="136"/>
      <c r="F36" s="136"/>
      <c r="G36" s="136"/>
      <c r="H36" s="136"/>
      <c r="I36" s="136"/>
      <c r="J36" s="137"/>
      <c r="L36" s="3"/>
    </row>
    <row r="37" spans="1:12" s="14" customFormat="1" ht="18">
      <c r="A37" s="132"/>
      <c r="B37" s="133"/>
      <c r="C37" s="134"/>
      <c r="D37" s="71" t="s">
        <v>212</v>
      </c>
      <c r="E37" s="72"/>
      <c r="F37" s="122"/>
      <c r="G37" s="123"/>
      <c r="H37" s="123"/>
      <c r="I37" s="123"/>
      <c r="J37" s="124"/>
      <c r="L37" s="3"/>
    </row>
    <row r="38" spans="1:12" s="14" customFormat="1" ht="18">
      <c r="A38" s="132"/>
      <c r="B38" s="133"/>
      <c r="C38" s="134"/>
      <c r="D38" s="126" t="s">
        <v>213</v>
      </c>
      <c r="E38" s="127"/>
      <c r="F38" s="122"/>
      <c r="G38" s="123"/>
      <c r="H38" s="123"/>
      <c r="I38" s="123"/>
      <c r="J38" s="124"/>
      <c r="L38" s="3"/>
    </row>
    <row r="39" spans="1:12" s="14" customFormat="1" ht="18">
      <c r="A39" s="132"/>
      <c r="B39" s="133"/>
      <c r="C39" s="134"/>
      <c r="D39" s="131"/>
      <c r="E39" s="123"/>
      <c r="F39" s="123"/>
      <c r="G39" s="123"/>
      <c r="H39" s="123"/>
      <c r="I39" s="123"/>
      <c r="J39" s="124"/>
      <c r="L39" s="3"/>
    </row>
    <row r="40" spans="1:12" s="14" customFormat="1" ht="18">
      <c r="A40" s="138"/>
      <c r="B40" s="139"/>
      <c r="C40" s="140"/>
      <c r="D40" s="135"/>
      <c r="E40" s="136"/>
      <c r="F40" s="136"/>
      <c r="G40" s="136"/>
      <c r="H40" s="136"/>
      <c r="I40" s="136"/>
      <c r="J40" s="137"/>
      <c r="L40" s="3"/>
    </row>
    <row r="41" spans="1:12" s="14" customFormat="1" ht="18">
      <c r="A41" s="70" t="s">
        <v>212</v>
      </c>
      <c r="B41" s="120"/>
      <c r="C41" s="121"/>
      <c r="D41" s="71" t="s">
        <v>212</v>
      </c>
      <c r="E41" s="72"/>
      <c r="F41" s="73"/>
      <c r="G41" s="74"/>
      <c r="H41" s="74"/>
      <c r="I41" s="75"/>
      <c r="J41" s="76"/>
      <c r="L41" s="3"/>
    </row>
    <row r="42" spans="1:12" s="14" customFormat="1" ht="18">
      <c r="A42" s="70" t="s">
        <v>213</v>
      </c>
      <c r="B42" s="122"/>
      <c r="C42" s="125"/>
      <c r="D42" s="126" t="s">
        <v>213</v>
      </c>
      <c r="E42" s="127"/>
      <c r="F42" s="122"/>
      <c r="G42" s="141"/>
      <c r="H42" s="141"/>
      <c r="I42" s="141"/>
      <c r="J42" s="124"/>
      <c r="L42" s="3"/>
    </row>
    <row r="43" spans="1:12" s="14" customFormat="1" ht="18">
      <c r="A43" s="128"/>
      <c r="B43" s="129"/>
      <c r="C43" s="130"/>
      <c r="D43" s="131"/>
      <c r="E43" s="123"/>
      <c r="F43" s="141"/>
      <c r="G43" s="141"/>
      <c r="H43" s="141"/>
      <c r="I43" s="141"/>
      <c r="J43" s="124"/>
      <c r="L43" s="3"/>
    </row>
    <row r="44" spans="1:12" s="14" customFormat="1" ht="18">
      <c r="A44" s="132"/>
      <c r="B44" s="133"/>
      <c r="C44" s="134"/>
      <c r="D44" s="135"/>
      <c r="E44" s="136"/>
      <c r="F44" s="136"/>
      <c r="G44" s="136"/>
      <c r="H44" s="136"/>
      <c r="I44" s="136"/>
      <c r="J44" s="137"/>
      <c r="L44" s="3"/>
    </row>
    <row r="45" spans="1:12" s="14" customFormat="1" ht="18">
      <c r="A45" s="132"/>
      <c r="B45" s="133"/>
      <c r="C45" s="134"/>
      <c r="D45" s="71" t="s">
        <v>212</v>
      </c>
      <c r="E45" s="72"/>
      <c r="F45" s="122"/>
      <c r="G45" s="123"/>
      <c r="H45" s="123"/>
      <c r="I45" s="123"/>
      <c r="J45" s="124"/>
      <c r="L45" s="3"/>
    </row>
    <row r="46" spans="1:12" s="14" customFormat="1" ht="18">
      <c r="A46" s="132"/>
      <c r="B46" s="133"/>
      <c r="C46" s="134"/>
      <c r="D46" s="126" t="s">
        <v>213</v>
      </c>
      <c r="E46" s="127"/>
      <c r="F46" s="122"/>
      <c r="G46" s="123"/>
      <c r="H46" s="123"/>
      <c r="I46" s="123"/>
      <c r="J46" s="124"/>
      <c r="L46" s="3"/>
    </row>
    <row r="47" spans="1:12" s="14" customFormat="1" ht="18">
      <c r="A47" s="132"/>
      <c r="B47" s="133"/>
      <c r="C47" s="134"/>
      <c r="D47" s="131"/>
      <c r="E47" s="123"/>
      <c r="F47" s="123"/>
      <c r="G47" s="123"/>
      <c r="H47" s="123"/>
      <c r="I47" s="123"/>
      <c r="J47" s="124"/>
      <c r="L47" s="3"/>
    </row>
    <row r="48" spans="1:12" s="14" customFormat="1" ht="18.75" thickBot="1">
      <c r="A48" s="142"/>
      <c r="B48" s="143"/>
      <c r="C48" s="144"/>
      <c r="D48" s="145"/>
      <c r="E48" s="146"/>
      <c r="F48" s="146"/>
      <c r="G48" s="146"/>
      <c r="H48" s="146"/>
      <c r="I48" s="146"/>
      <c r="J48" s="147"/>
      <c r="L48" s="3"/>
    </row>
    <row r="49" spans="1:12" s="14" customFormat="1" ht="18">
      <c r="A49" s="15"/>
      <c r="B49" s="16"/>
      <c r="C49" s="16"/>
      <c r="D49" s="15"/>
      <c r="E49" s="15"/>
      <c r="F49" s="17" t="s">
        <v>81</v>
      </c>
      <c r="G49" s="15"/>
      <c r="H49" s="15"/>
      <c r="I49" s="15"/>
      <c r="J49" s="15"/>
      <c r="L49" s="23">
        <f>SUM(L12:L48)</f>
        <v>0</v>
      </c>
    </row>
    <row r="50" spans="1:12" s="14" customFormat="1" ht="18">
      <c r="A50" s="14" t="s">
        <v>85</v>
      </c>
      <c r="F50" s="17" t="s">
        <v>60</v>
      </c>
      <c r="L50" s="19">
        <f>+'Character Record'!Q53</f>
        <v>0</v>
      </c>
    </row>
    <row r="51" spans="1:12" s="14" customFormat="1" ht="18">
      <c r="A51" s="14" t="s">
        <v>86</v>
      </c>
      <c r="F51" s="17" t="s">
        <v>82</v>
      </c>
      <c r="L51" s="20">
        <f>+L49*L50</f>
        <v>0</v>
      </c>
    </row>
    <row r="52" ht="18">
      <c r="L52" s="21"/>
    </row>
    <row r="53" spans="6:12" ht="18">
      <c r="F53" s="18" t="s">
        <v>83</v>
      </c>
      <c r="L53" s="21">
        <f>+'Character Record'!U53</f>
        <v>0</v>
      </c>
    </row>
    <row r="54" spans="6:12" ht="18.75" thickBot="1">
      <c r="F54" s="18" t="s">
        <v>65</v>
      </c>
      <c r="L54" s="22">
        <f>+L51+L53</f>
        <v>0</v>
      </c>
    </row>
    <row r="55" ht="15.75" thickTop="1"/>
  </sheetData>
  <mergeCells count="41">
    <mergeCell ref="A47:C47"/>
    <mergeCell ref="D47:J47"/>
    <mergeCell ref="A48:C48"/>
    <mergeCell ref="D48:J48"/>
    <mergeCell ref="A45:C45"/>
    <mergeCell ref="F45:J45"/>
    <mergeCell ref="A46:C46"/>
    <mergeCell ref="D46:E46"/>
    <mergeCell ref="F46:J46"/>
    <mergeCell ref="A43:C43"/>
    <mergeCell ref="D43:J43"/>
    <mergeCell ref="A44:C44"/>
    <mergeCell ref="D44:J44"/>
    <mergeCell ref="A40:C40"/>
    <mergeCell ref="D40:J40"/>
    <mergeCell ref="B41:C41"/>
    <mergeCell ref="B42:C42"/>
    <mergeCell ref="D42:E42"/>
    <mergeCell ref="F42:J42"/>
    <mergeCell ref="A38:C38"/>
    <mergeCell ref="D38:E38"/>
    <mergeCell ref="F38:J38"/>
    <mergeCell ref="A39:C39"/>
    <mergeCell ref="D39:J39"/>
    <mergeCell ref="A36:C36"/>
    <mergeCell ref="D36:J36"/>
    <mergeCell ref="A37:C37"/>
    <mergeCell ref="F37:J37"/>
    <mergeCell ref="B34:C34"/>
    <mergeCell ref="D34:E34"/>
    <mergeCell ref="F34:J34"/>
    <mergeCell ref="A35:C35"/>
    <mergeCell ref="D35:J35"/>
    <mergeCell ref="A31:J31"/>
    <mergeCell ref="A32:J32"/>
    <mergeCell ref="B33:C33"/>
    <mergeCell ref="F33:J33"/>
    <mergeCell ref="E2:G2"/>
    <mergeCell ref="H2:J2"/>
    <mergeCell ref="A4:J4"/>
    <mergeCell ref="A5:J5"/>
  </mergeCells>
  <printOptions/>
  <pageMargins left="0.5" right="0.3" top="0.3" bottom="0.3" header="0.5" footer="0.5"/>
  <pageSetup fitToHeight="1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Cody Mills</cp:lastModifiedBy>
  <cp:lastPrinted>2004-07-13T04:00:39Z</cp:lastPrinted>
  <dcterms:created xsi:type="dcterms:W3CDTF">1998-04-22T03:04:46Z</dcterms:created>
  <dcterms:modified xsi:type="dcterms:W3CDTF">2008-01-22T19:09:40Z</dcterms:modified>
  <cp:category/>
  <cp:version/>
  <cp:contentType/>
  <cp:contentStatus/>
</cp:coreProperties>
</file>